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5" yWindow="-15" windowWidth="10815" windowHeight="10725"/>
  </bookViews>
  <sheets>
    <sheet name="モデル選択" sheetId="1" r:id="rId1"/>
    <sheet name="両持ち式" sheetId="3" r:id="rId2"/>
    <sheet name="片持ち式" sheetId="2" r:id="rId3"/>
    <sheet name="ピローブロック" sheetId="4" r:id="rId4"/>
    <sheet name="ピローブロック精密計算" sheetId="5" r:id="rId5"/>
  </sheets>
  <calcPr calcId="125725"/>
</workbook>
</file>

<file path=xl/calcChain.xml><?xml version="1.0" encoding="utf-8"?>
<calcChain xmlns="http://schemas.openxmlformats.org/spreadsheetml/2006/main">
  <c r="V4" i="5"/>
  <c r="Q10" i="4"/>
  <c r="U10" i="5" l="1"/>
  <c r="V30"/>
  <c r="V27"/>
  <c r="V28" s="1"/>
  <c r="V26"/>
  <c r="R4" i="4"/>
  <c r="R27"/>
  <c r="R29"/>
  <c r="R28"/>
  <c r="Q15" l="1"/>
  <c r="V32" i="5"/>
  <c r="V31"/>
  <c r="H28"/>
  <c r="G27" i="4"/>
  <c r="G29" i="5" l="1"/>
  <c r="V5" s="1"/>
  <c r="U15"/>
  <c r="O10" i="2"/>
  <c r="P23"/>
  <c r="O15" s="1"/>
  <c r="P22"/>
  <c r="H23" s="1"/>
  <c r="P4"/>
  <c r="P22" i="3"/>
  <c r="P23"/>
  <c r="O10"/>
  <c r="P4"/>
  <c r="V6" i="5" l="1"/>
  <c r="C33" s="1"/>
  <c r="R6" i="4"/>
  <c r="H26"/>
  <c r="G24" i="2"/>
  <c r="G26" i="3"/>
  <c r="H25"/>
  <c r="O15"/>
  <c r="C30" i="5" l="1"/>
  <c r="C32"/>
  <c r="C31"/>
  <c r="R5" i="4"/>
  <c r="C28" s="1"/>
  <c r="P5" i="2"/>
  <c r="P6"/>
  <c r="P5" i="3"/>
  <c r="P6"/>
  <c r="C29" l="1"/>
  <c r="C28"/>
  <c r="C27"/>
  <c r="C30" i="4"/>
  <c r="C31"/>
  <c r="C29"/>
  <c r="C25" i="2"/>
  <c r="C26"/>
  <c r="C27"/>
</calcChain>
</file>

<file path=xl/sharedStrings.xml><?xml version="1.0" encoding="utf-8"?>
<sst xmlns="http://schemas.openxmlformats.org/spreadsheetml/2006/main" count="183" uniqueCount="87">
  <si>
    <t>スリムセルタイプ</t>
    <phoneticPr fontId="2"/>
  </si>
  <si>
    <t>ピローブロック</t>
    <phoneticPr fontId="2"/>
  </si>
  <si>
    <t>CMC テンショントランスデューサー</t>
    <phoneticPr fontId="2"/>
  </si>
  <si>
    <t>選定を行うタイプを選択して下さい</t>
    <rPh sb="0" eb="2">
      <t>センテイ</t>
    </rPh>
    <rPh sb="3" eb="4">
      <t>オコナ</t>
    </rPh>
    <rPh sb="9" eb="11">
      <t>センタク</t>
    </rPh>
    <rPh sb="13" eb="14">
      <t>クダ</t>
    </rPh>
    <phoneticPr fontId="2"/>
  </si>
  <si>
    <t>スリムセル</t>
    <phoneticPr fontId="2"/>
  </si>
  <si>
    <t>専用選定計算シート</t>
    <rPh sb="0" eb="2">
      <t>センヨウ</t>
    </rPh>
    <rPh sb="2" eb="4">
      <t>センテイ</t>
    </rPh>
    <rPh sb="4" eb="6">
      <t>ケイサン</t>
    </rPh>
    <phoneticPr fontId="2"/>
  </si>
  <si>
    <t>最大テンション</t>
    <rPh sb="0" eb="2">
      <t>サイダイ</t>
    </rPh>
    <phoneticPr fontId="2"/>
  </si>
  <si>
    <t>ラップ角度</t>
    <rPh sb="3" eb="5">
      <t>カクド</t>
    </rPh>
    <phoneticPr fontId="2"/>
  </si>
  <si>
    <t>ローラー重量</t>
    <rPh sb="4" eb="6">
      <t>ジュウリョウ</t>
    </rPh>
    <phoneticPr fontId="2"/>
  </si>
  <si>
    <t>瞬間過負荷係数（1.4-2.0）</t>
    <rPh sb="0" eb="2">
      <t>シュンカン</t>
    </rPh>
    <rPh sb="2" eb="5">
      <t>カフカ</t>
    </rPh>
    <rPh sb="5" eb="7">
      <t>ケイスウ</t>
    </rPh>
    <phoneticPr fontId="2"/>
  </si>
  <si>
    <t>T</t>
    <phoneticPr fontId="2"/>
  </si>
  <si>
    <t>K</t>
    <phoneticPr fontId="2"/>
  </si>
  <si>
    <t>A</t>
    <phoneticPr fontId="2"/>
  </si>
  <si>
    <t>B</t>
    <phoneticPr fontId="2"/>
  </si>
  <si>
    <t>W</t>
    <phoneticPr fontId="2"/>
  </si>
  <si>
    <t>N</t>
    <phoneticPr fontId="2"/>
  </si>
  <si>
    <t>°</t>
    <phoneticPr fontId="2"/>
  </si>
  <si>
    <t>MWF=</t>
    <phoneticPr fontId="2"/>
  </si>
  <si>
    <t>下の場合はプラス角度としてください</t>
    <rPh sb="0" eb="1">
      <t>シタ</t>
    </rPh>
    <rPh sb="2" eb="4">
      <t>バアイ</t>
    </rPh>
    <rPh sb="8" eb="10">
      <t>カクド</t>
    </rPh>
    <phoneticPr fontId="2"/>
  </si>
  <si>
    <t>例）垂直引き上げ：-90°、真下：90°、水平：０°</t>
    <rPh sb="0" eb="1">
      <t>レイ</t>
    </rPh>
    <rPh sb="2" eb="4">
      <t>スイチョク</t>
    </rPh>
    <rPh sb="4" eb="5">
      <t>ヒ</t>
    </rPh>
    <rPh sb="6" eb="7">
      <t>ア</t>
    </rPh>
    <rPh sb="14" eb="16">
      <t>マシタ</t>
    </rPh>
    <rPh sb="21" eb="23">
      <t>スイヘイ</t>
    </rPh>
    <phoneticPr fontId="2"/>
  </si>
  <si>
    <t>ローラー重量がMWFを超えていないか</t>
    <rPh sb="4" eb="6">
      <t>ジュウリョウ</t>
    </rPh>
    <rPh sb="11" eb="12">
      <t>コ</t>
    </rPh>
    <phoneticPr fontId="2"/>
  </si>
  <si>
    <t>ローラー重量がトランスデューサーの許容荷重を超える可能性があります。</t>
    <rPh sb="4" eb="6">
      <t>ジュウリョウ</t>
    </rPh>
    <rPh sb="17" eb="19">
      <t>キョヨウ</t>
    </rPh>
    <rPh sb="19" eb="21">
      <t>カジュウ</t>
    </rPh>
    <rPh sb="22" eb="23">
      <t>コ</t>
    </rPh>
    <rPh sb="25" eb="28">
      <t>カノウセイ</t>
    </rPh>
    <phoneticPr fontId="2"/>
  </si>
  <si>
    <t>ローラー重量がMWFの2/3を超えていないか</t>
    <rPh sb="4" eb="6">
      <t>ジュウリョウ</t>
    </rPh>
    <rPh sb="15" eb="16">
      <t>コ</t>
    </rPh>
    <phoneticPr fontId="2"/>
  </si>
  <si>
    <t>トランスデューサーの許容荷重のほとんどをローラー重量が占めています</t>
    <rPh sb="10" eb="12">
      <t>キョヨウ</t>
    </rPh>
    <rPh sb="12" eb="14">
      <t>カジュウ</t>
    </rPh>
    <rPh sb="24" eb="26">
      <t>ジュウリョウ</t>
    </rPh>
    <rPh sb="27" eb="28">
      <t>シ</t>
    </rPh>
    <phoneticPr fontId="2"/>
  </si>
  <si>
    <t>荷重方向がプラスかどうか</t>
    <rPh sb="0" eb="2">
      <t>カジュウ</t>
    </rPh>
    <rPh sb="2" eb="4">
      <t>ホウコウ</t>
    </rPh>
    <phoneticPr fontId="2"/>
  </si>
  <si>
    <t>※荷重方向は水平を０°とし、水平より上の場合はマイナス</t>
    <rPh sb="1" eb="3">
      <t>カジュウ</t>
    </rPh>
    <rPh sb="3" eb="5">
      <t>ホウコウ</t>
    </rPh>
    <rPh sb="6" eb="8">
      <t>スイヘイ</t>
    </rPh>
    <rPh sb="14" eb="16">
      <t>スイヘイ</t>
    </rPh>
    <rPh sb="18" eb="19">
      <t>ウエ</t>
    </rPh>
    <rPh sb="20" eb="22">
      <t>バアイ</t>
    </rPh>
    <phoneticPr fontId="2"/>
  </si>
  <si>
    <t>空欄があります。すべて入力してください</t>
    <rPh sb="0" eb="2">
      <t>クウラン</t>
    </rPh>
    <rPh sb="11" eb="13">
      <t>ニュウリョク</t>
    </rPh>
    <phoneticPr fontId="2"/>
  </si>
  <si>
    <t>計算完了</t>
    <rPh sb="0" eb="2">
      <t>ケイサン</t>
    </rPh>
    <rPh sb="2" eb="4">
      <t>カンリョウ</t>
    </rPh>
    <phoneticPr fontId="2"/>
  </si>
  <si>
    <t>！注意！</t>
    <rPh sb="1" eb="3">
      <t>チュウイ</t>
    </rPh>
    <phoneticPr fontId="2"/>
  </si>
  <si>
    <t>黄色い部分をすべて入力してください↓</t>
    <rPh sb="0" eb="2">
      <t>キイロ</t>
    </rPh>
    <rPh sb="3" eb="5">
      <t>ブブン</t>
    </rPh>
    <rPh sb="9" eb="11">
      <t>ニュウリョク</t>
    </rPh>
    <phoneticPr fontId="2"/>
  </si>
  <si>
    <t>MWF=2TxKxsin(A/2)+Wxsin(B)　　</t>
    <phoneticPr fontId="2"/>
  </si>
  <si>
    <t>テンションレンジの低下を防ぐ為、ウェブパス方向の変更も検討してください</t>
    <rPh sb="9" eb="11">
      <t>テイカ</t>
    </rPh>
    <rPh sb="12" eb="13">
      <t>フセ</t>
    </rPh>
    <rPh sb="14" eb="15">
      <t>タメ</t>
    </rPh>
    <rPh sb="21" eb="23">
      <t>ホウコウ</t>
    </rPh>
    <rPh sb="24" eb="26">
      <t>ヘンコウ</t>
    </rPh>
    <rPh sb="27" eb="29">
      <t>ケントウ</t>
    </rPh>
    <phoneticPr fontId="2"/>
  </si>
  <si>
    <t>片持ち式カートリッジ</t>
    <rPh sb="0" eb="1">
      <t>カタ</t>
    </rPh>
    <rPh sb="1" eb="2">
      <t>モ</t>
    </rPh>
    <rPh sb="3" eb="4">
      <t>シキ</t>
    </rPh>
    <phoneticPr fontId="2"/>
  </si>
  <si>
    <t>ピローブロック式</t>
    <rPh sb="7" eb="8">
      <t>シキ</t>
    </rPh>
    <phoneticPr fontId="2"/>
  </si>
  <si>
    <r>
      <t>荷重方向（-90°～90°）</t>
    </r>
    <r>
      <rPr>
        <sz val="10"/>
        <color theme="1"/>
        <rFont val="ＭＳ Ｐゴシック"/>
        <family val="3"/>
        <charset val="128"/>
        <scheme val="minor"/>
      </rPr>
      <t>※</t>
    </r>
    <rPh sb="0" eb="2">
      <t>カジュウ</t>
    </rPh>
    <rPh sb="2" eb="4">
      <t>ホウコウ</t>
    </rPh>
    <phoneticPr fontId="2"/>
  </si>
  <si>
    <t xml:space="preserve">MWF={2TxKxsin(A/2)+Wxsin(B)}/2  </t>
    <phoneticPr fontId="2"/>
  </si>
  <si>
    <t>片持ちタイプ</t>
    <rPh sb="0" eb="1">
      <t>カタ</t>
    </rPh>
    <rPh sb="1" eb="2">
      <t>モ</t>
    </rPh>
    <phoneticPr fontId="2"/>
  </si>
  <si>
    <t>両持ち式カートリッジ</t>
    <rPh sb="3" eb="4">
      <t>シキ</t>
    </rPh>
    <phoneticPr fontId="2"/>
  </si>
  <si>
    <r>
      <t>荷重角度(0-90°）</t>
    </r>
    <r>
      <rPr>
        <sz val="10"/>
        <color theme="1"/>
        <rFont val="ＭＳ Ｐゴシック"/>
        <family val="3"/>
        <charset val="128"/>
        <scheme val="minor"/>
      </rPr>
      <t>※</t>
    </r>
    <rPh sb="0" eb="2">
      <t>カジュウ</t>
    </rPh>
    <rPh sb="2" eb="4">
      <t>カクド</t>
    </rPh>
    <phoneticPr fontId="2"/>
  </si>
  <si>
    <r>
      <t xml:space="preserve">ローラー重量 </t>
    </r>
    <r>
      <rPr>
        <sz val="10"/>
        <color theme="1"/>
        <rFont val="ＭＳ Ｐゴシック"/>
        <family val="3"/>
        <charset val="128"/>
        <scheme val="minor"/>
      </rPr>
      <t>※２</t>
    </r>
    <rPh sb="4" eb="6">
      <t>ジュウリョウ</t>
    </rPh>
    <phoneticPr fontId="2"/>
  </si>
  <si>
    <r>
      <t>荷重方向（+または-)</t>
    </r>
    <r>
      <rPr>
        <sz val="10"/>
        <color theme="1"/>
        <rFont val="ＭＳ Ｐゴシック"/>
        <family val="3"/>
        <charset val="128"/>
        <scheme val="minor"/>
      </rPr>
      <t>※</t>
    </r>
    <r>
      <rPr>
        <sz val="10"/>
        <color theme="1"/>
        <rFont val="ＭＳ Ｐゴシック"/>
        <family val="2"/>
        <charset val="128"/>
        <scheme val="minor"/>
      </rPr>
      <t>3</t>
    </r>
    <rPh sb="0" eb="2">
      <t>カジュウ</t>
    </rPh>
    <rPh sb="2" eb="4">
      <t>ホウコウ</t>
    </rPh>
    <phoneticPr fontId="2"/>
  </si>
  <si>
    <t>※荷重角度はトランスデューサーへの垂線を基準線とします（図参照）</t>
    <rPh sb="1" eb="3">
      <t>カジュウ</t>
    </rPh>
    <rPh sb="3" eb="5">
      <t>カクド</t>
    </rPh>
    <rPh sb="17" eb="19">
      <t>スイセン</t>
    </rPh>
    <phoneticPr fontId="2"/>
  </si>
  <si>
    <t>※2　ローラー重量には左右ピローブロック重量も含みます</t>
    <rPh sb="7" eb="9">
      <t>ジュウリョウ</t>
    </rPh>
    <rPh sb="11" eb="13">
      <t>サユウ</t>
    </rPh>
    <rPh sb="20" eb="22">
      <t>ジュウリョウ</t>
    </rPh>
    <rPh sb="23" eb="24">
      <t>フク</t>
    </rPh>
    <phoneticPr fontId="2"/>
  </si>
  <si>
    <t>※3荷重方向はウェブ荷重方向が地面に対して水平より下の場合を＋、上の場合を-とします</t>
    <rPh sb="2" eb="4">
      <t>カジュウ</t>
    </rPh>
    <rPh sb="4" eb="6">
      <t>ホウコウ</t>
    </rPh>
    <rPh sb="10" eb="12">
      <t>カジュウ</t>
    </rPh>
    <rPh sb="12" eb="14">
      <t>ホウコウ</t>
    </rPh>
    <rPh sb="15" eb="17">
      <t>ジメン</t>
    </rPh>
    <rPh sb="18" eb="19">
      <t>タイ</t>
    </rPh>
    <rPh sb="21" eb="23">
      <t>スイヘイ</t>
    </rPh>
    <rPh sb="25" eb="26">
      <t>シタ</t>
    </rPh>
    <rPh sb="27" eb="29">
      <t>バアイ</t>
    </rPh>
    <rPh sb="32" eb="33">
      <t>ウエ</t>
    </rPh>
    <rPh sb="34" eb="36">
      <t>バアイ</t>
    </rPh>
    <phoneticPr fontId="2"/>
  </si>
  <si>
    <t>逆側への荷重も可能です。その場合でもマイナス表記は必要ありません。</t>
    <rPh sb="0" eb="1">
      <t>ギャク</t>
    </rPh>
    <rPh sb="1" eb="2">
      <t>ガワ</t>
    </rPh>
    <rPh sb="4" eb="6">
      <t>カジュウ</t>
    </rPh>
    <rPh sb="7" eb="9">
      <t>カノウ</t>
    </rPh>
    <rPh sb="14" eb="16">
      <t>バアイ</t>
    </rPh>
    <rPh sb="22" eb="24">
      <t>ヒョウキ</t>
    </rPh>
    <rPh sb="25" eb="27">
      <t>ヒツヨウ</t>
    </rPh>
    <phoneticPr fontId="2"/>
  </si>
  <si>
    <t xml:space="preserve"> </t>
    <phoneticPr fontId="2"/>
  </si>
  <si>
    <t xml:space="preserve">   </t>
    <phoneticPr fontId="2"/>
  </si>
  <si>
    <t>（例：左側図の場合は＋、右側図の場合は－）</t>
    <rPh sb="1" eb="2">
      <t>レイ</t>
    </rPh>
    <rPh sb="3" eb="5">
      <t>ヒダリガワ</t>
    </rPh>
    <rPh sb="5" eb="6">
      <t>ズ</t>
    </rPh>
    <rPh sb="7" eb="9">
      <t>バアイ</t>
    </rPh>
    <rPh sb="12" eb="14">
      <t>ミギガワ</t>
    </rPh>
    <rPh sb="14" eb="15">
      <t>ズ</t>
    </rPh>
    <rPh sb="16" eb="18">
      <t>バアイ</t>
    </rPh>
    <phoneticPr fontId="2"/>
  </si>
  <si>
    <t xml:space="preserve">MWF=KTsin(A/2)(cosB+sinB)±（W/2）  </t>
    <phoneticPr fontId="2"/>
  </si>
  <si>
    <t>選定計算シート</t>
    <rPh sb="0" eb="2">
      <t>センテイ</t>
    </rPh>
    <rPh sb="2" eb="4">
      <t>ケイサン</t>
    </rPh>
    <phoneticPr fontId="2"/>
  </si>
  <si>
    <t>使用モデル</t>
    <rPh sb="0" eb="2">
      <t>シヨウ</t>
    </rPh>
    <phoneticPr fontId="2"/>
  </si>
  <si>
    <t>ベアリング高さ</t>
    <rPh sb="5" eb="6">
      <t>タカ</t>
    </rPh>
    <phoneticPr fontId="2"/>
  </si>
  <si>
    <t>mm</t>
    <phoneticPr fontId="2"/>
  </si>
  <si>
    <t>精密計算版</t>
    <rPh sb="0" eb="2">
      <t>セイミツ</t>
    </rPh>
    <rPh sb="2" eb="4">
      <t>ケイサン</t>
    </rPh>
    <rPh sb="4" eb="5">
      <t>バン</t>
    </rPh>
    <phoneticPr fontId="2"/>
  </si>
  <si>
    <t>H</t>
    <phoneticPr fontId="2"/>
  </si>
  <si>
    <t>C</t>
    <phoneticPr fontId="2"/>
  </si>
  <si>
    <t>MWF={KTsin(A/2)(LcosB+H'sinB)±（W/2）(LcosC-H'sinC)}/L</t>
    <phoneticPr fontId="2"/>
  </si>
  <si>
    <t>サイズ</t>
    <phoneticPr fontId="2"/>
  </si>
  <si>
    <t>UPB1</t>
    <phoneticPr fontId="2"/>
  </si>
  <si>
    <t>UPB2</t>
    <phoneticPr fontId="2"/>
  </si>
  <si>
    <t>UPB3</t>
    <phoneticPr fontId="2"/>
  </si>
  <si>
    <t>L(mm)</t>
    <phoneticPr fontId="2"/>
  </si>
  <si>
    <t>H'(mm)</t>
    <phoneticPr fontId="2"/>
  </si>
  <si>
    <t>H+24.9</t>
    <phoneticPr fontId="2"/>
  </si>
  <si>
    <t>H+31.8</t>
    <phoneticPr fontId="2"/>
  </si>
  <si>
    <t>H+53.3</t>
    <phoneticPr fontId="2"/>
  </si>
  <si>
    <r>
      <t>＊L及びH</t>
    </r>
    <r>
      <rPr>
        <b/>
        <sz val="10"/>
        <color theme="9" tint="-0.249977111117893"/>
        <rFont val="ＭＳ Ｐゴシック"/>
        <family val="3"/>
        <charset val="128"/>
        <scheme val="minor"/>
      </rPr>
      <t>'</t>
    </r>
    <r>
      <rPr>
        <sz val="10"/>
        <color theme="9" tint="-0.249977111117893"/>
        <rFont val="ＭＳ Ｐゴシック"/>
        <family val="2"/>
        <charset val="128"/>
        <scheme val="minor"/>
      </rPr>
      <t>は以下の表から求めます</t>
    </r>
    <rPh sb="2" eb="3">
      <t>オヨ</t>
    </rPh>
    <rPh sb="7" eb="9">
      <t>イカ</t>
    </rPh>
    <rPh sb="10" eb="11">
      <t>ヒョウ</t>
    </rPh>
    <rPh sb="13" eb="14">
      <t>モト</t>
    </rPh>
    <phoneticPr fontId="2"/>
  </si>
  <si>
    <t>ピローブロック式は過負荷への許容が高く設計されていますので、</t>
    <rPh sb="7" eb="8">
      <t>シキ</t>
    </rPh>
    <rPh sb="9" eb="12">
      <t>カフカ</t>
    </rPh>
    <rPh sb="14" eb="16">
      <t>キョヨウ</t>
    </rPh>
    <rPh sb="17" eb="18">
      <t>タカ</t>
    </rPh>
    <rPh sb="19" eb="21">
      <t>セッケイ</t>
    </rPh>
    <phoneticPr fontId="2"/>
  </si>
  <si>
    <t>高い分解能を得る為にMWF値の2/3程度から定格を選定することが出来ます。</t>
  </si>
  <si>
    <t xml:space="preserve"> 垂直取付(C=90°)でBが0°の場合は荷重方向がロードセルへ向かう場合を-、逆向きを+としてください</t>
    <rPh sb="1" eb="3">
      <t>スイチョク</t>
    </rPh>
    <rPh sb="3" eb="5">
      <t>トリツケ</t>
    </rPh>
    <rPh sb="18" eb="20">
      <t>バアイ</t>
    </rPh>
    <rPh sb="21" eb="23">
      <t>カジュウ</t>
    </rPh>
    <rPh sb="23" eb="25">
      <t>ホウコウ</t>
    </rPh>
    <rPh sb="32" eb="33">
      <t>ム</t>
    </rPh>
    <rPh sb="35" eb="37">
      <t>バアイ</t>
    </rPh>
    <rPh sb="40" eb="41">
      <t>ギャク</t>
    </rPh>
    <rPh sb="41" eb="42">
      <t>ム</t>
    </rPh>
    <phoneticPr fontId="2"/>
  </si>
  <si>
    <t>そのような設置を検討される場合は</t>
    <rPh sb="5" eb="7">
      <t>セッチ</t>
    </rPh>
    <rPh sb="8" eb="10">
      <t>ケントウ</t>
    </rPh>
    <rPh sb="13" eb="15">
      <t>バアイ</t>
    </rPh>
    <phoneticPr fontId="2"/>
  </si>
  <si>
    <t>必ず販売店へご相談下さい。</t>
    <rPh sb="0" eb="1">
      <t>カナラ</t>
    </rPh>
    <rPh sb="2" eb="4">
      <t>ハンバイ</t>
    </rPh>
    <rPh sb="4" eb="5">
      <t>テン</t>
    </rPh>
    <rPh sb="7" eb="9">
      <t>ソウダン</t>
    </rPh>
    <rPh sb="9" eb="10">
      <t>クダ</t>
    </rPh>
    <phoneticPr fontId="2"/>
  </si>
  <si>
    <t>水平・垂直取付以外の、任意角度による</t>
    <rPh sb="0" eb="2">
      <t>スイヘイ</t>
    </rPh>
    <rPh sb="3" eb="5">
      <t>スイチョク</t>
    </rPh>
    <rPh sb="5" eb="7">
      <t>トリツケ</t>
    </rPh>
    <rPh sb="7" eb="9">
      <t>イガイ</t>
    </rPh>
    <rPh sb="11" eb="13">
      <t>ニンイ</t>
    </rPh>
    <rPh sb="13" eb="15">
      <t>カクド</t>
    </rPh>
    <phoneticPr fontId="2"/>
  </si>
  <si>
    <t>設置も可能ですが、計算が複雑となります。</t>
    <rPh sb="0" eb="2">
      <t>セッチ</t>
    </rPh>
    <rPh sb="3" eb="5">
      <t>カノウ</t>
    </rPh>
    <rPh sb="9" eb="11">
      <t>ケイサン</t>
    </rPh>
    <rPh sb="12" eb="14">
      <t>フクザツ</t>
    </rPh>
    <phoneticPr fontId="2"/>
  </si>
  <si>
    <t>瞬間過負荷係数（1.0-1.5）</t>
    <rPh sb="0" eb="2">
      <t>シュンカン</t>
    </rPh>
    <rPh sb="2" eb="5">
      <t>カフカ</t>
    </rPh>
    <rPh sb="5" eb="7">
      <t>ケイスウ</t>
    </rPh>
    <phoneticPr fontId="2"/>
  </si>
  <si>
    <t xml:space="preserve"> 垂直取付でBを0°とする場合は荷重方向がロードセルへ向かう場合を-、逆向きを+としてください</t>
    <rPh sb="1" eb="3">
      <t>スイチョク</t>
    </rPh>
    <rPh sb="3" eb="5">
      <t>トリツケ</t>
    </rPh>
    <rPh sb="13" eb="15">
      <t>バアイ</t>
    </rPh>
    <rPh sb="16" eb="18">
      <t>カジュウ</t>
    </rPh>
    <rPh sb="18" eb="20">
      <t>ホウコウ</t>
    </rPh>
    <rPh sb="27" eb="28">
      <t>ム</t>
    </rPh>
    <rPh sb="30" eb="32">
      <t>バアイ</t>
    </rPh>
    <rPh sb="35" eb="36">
      <t>ギャク</t>
    </rPh>
    <rPh sb="36" eb="37">
      <t>ム</t>
    </rPh>
    <phoneticPr fontId="2"/>
  </si>
  <si>
    <t>取付角度(0°,90°,180°）</t>
    <rPh sb="0" eb="2">
      <t>トリツケ</t>
    </rPh>
    <rPh sb="2" eb="4">
      <t>カクド</t>
    </rPh>
    <phoneticPr fontId="2"/>
  </si>
  <si>
    <t>簡易計算版</t>
    <rPh sb="0" eb="2">
      <t>カンイ</t>
    </rPh>
    <rPh sb="2" eb="4">
      <t>ケイサン</t>
    </rPh>
    <rPh sb="4" eb="5">
      <t>バン</t>
    </rPh>
    <phoneticPr fontId="2"/>
  </si>
  <si>
    <t>H'=</t>
    <phoneticPr fontId="2"/>
  </si>
  <si>
    <t>L=</t>
    <phoneticPr fontId="2"/>
  </si>
  <si>
    <t>D=</t>
    <phoneticPr fontId="2"/>
  </si>
  <si>
    <r>
      <t>荷重方向（-90°～90°）</t>
    </r>
    <r>
      <rPr>
        <sz val="10"/>
        <color theme="1"/>
        <rFont val="ＭＳ Ｐゴシック"/>
        <family val="3"/>
        <charset val="128"/>
        <scheme val="minor"/>
      </rPr>
      <t>※</t>
    </r>
    <r>
      <rPr>
        <sz val="10"/>
        <color theme="1"/>
        <rFont val="ＭＳ Ｐゴシック"/>
        <family val="2"/>
        <charset val="128"/>
        <scheme val="minor"/>
      </rPr>
      <t>2</t>
    </r>
    <rPh sb="0" eb="2">
      <t>カジュウ</t>
    </rPh>
    <rPh sb="2" eb="4">
      <t>ホウコウ</t>
    </rPh>
    <phoneticPr fontId="2"/>
  </si>
  <si>
    <t>※1 カートリッジ式の場合は1.4～2.0</t>
    <rPh sb="9" eb="10">
      <t>シキ</t>
    </rPh>
    <rPh sb="11" eb="13">
      <t>バアイ</t>
    </rPh>
    <phoneticPr fontId="2"/>
  </si>
  <si>
    <t>※2 荷重方向は水平を０°とし、水平より上の場合はマイナス</t>
    <rPh sb="3" eb="5">
      <t>カジュウ</t>
    </rPh>
    <rPh sb="5" eb="7">
      <t>ホウコウ</t>
    </rPh>
    <rPh sb="8" eb="10">
      <t>スイヘイ</t>
    </rPh>
    <rPh sb="16" eb="18">
      <t>スイヘイ</t>
    </rPh>
    <rPh sb="20" eb="21">
      <t>ウエ</t>
    </rPh>
    <rPh sb="22" eb="24">
      <t>バアイ</t>
    </rPh>
    <phoneticPr fontId="2"/>
  </si>
  <si>
    <r>
      <t>瞬間過負荷係数</t>
    </r>
    <r>
      <rPr>
        <sz val="10"/>
        <color theme="1"/>
        <rFont val="ＭＳ Ｐゴシック"/>
        <family val="3"/>
        <charset val="128"/>
        <scheme val="minor"/>
      </rPr>
      <t>※1</t>
    </r>
    <rPh sb="0" eb="2">
      <t>シュンカン</t>
    </rPh>
    <rPh sb="2" eb="5">
      <t>カフカ</t>
    </rPh>
    <rPh sb="5" eb="7">
      <t>ケイスウ</t>
    </rPh>
    <phoneticPr fontId="2"/>
  </si>
  <si>
    <t>スリムセルは1.0～1.5</t>
    <phoneticPr fontId="2"/>
  </si>
  <si>
    <t>両持ちカートリッジタイプ・</t>
    <rPh sb="0" eb="1">
      <t>リョウ</t>
    </rPh>
    <rPh sb="1" eb="2">
      <t>モ</t>
    </rPh>
    <phoneticPr fontId="2"/>
  </si>
</sst>
</file>

<file path=xl/styles.xml><?xml version="1.0" encoding="utf-8"?>
<styleSheet xmlns="http://schemas.openxmlformats.org/spreadsheetml/2006/main">
  <numFmts count="2">
    <numFmt numFmtId="176" formatCode="0_ "/>
    <numFmt numFmtId="177" formatCode="0.0_ "/>
  </numFmts>
  <fonts count="20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i/>
      <sz val="11"/>
      <color theme="9" tint="-0.249977111117893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theme="0" tint="-4.9989318521683403E-2"/>
      <name val="ＭＳ Ｐゴシック"/>
      <family val="2"/>
      <charset val="128"/>
      <scheme val="minor"/>
    </font>
    <font>
      <sz val="12"/>
      <color theme="0" tint="-4.9989318521683403E-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i/>
      <sz val="11"/>
      <name val="ＭＳ Ｐゴシック"/>
      <family val="3"/>
      <charset val="128"/>
      <scheme val="minor"/>
    </font>
    <font>
      <sz val="10"/>
      <color theme="9" tint="-0.249977111117893"/>
      <name val="ＭＳ Ｐゴシック"/>
      <family val="2"/>
      <charset val="128"/>
      <scheme val="minor"/>
    </font>
    <font>
      <b/>
      <sz val="10"/>
      <color theme="9" tint="-0.249977111117893"/>
      <name val="ＭＳ Ｐゴシック"/>
      <family val="3"/>
      <charset val="128"/>
      <scheme val="minor"/>
    </font>
    <font>
      <sz val="9"/>
      <color rgb="FFFFFFFF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color theme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3" fillId="4" borderId="0" xfId="0" applyFont="1" applyFill="1">
      <alignment vertical="center"/>
    </xf>
    <xf numFmtId="0" fontId="4" fillId="3" borderId="0" xfId="0" applyFont="1" applyFill="1">
      <alignment vertical="center"/>
    </xf>
    <xf numFmtId="0" fontId="0" fillId="4" borderId="1" xfId="0" applyFill="1" applyBorder="1">
      <alignment vertical="center"/>
    </xf>
    <xf numFmtId="0" fontId="4" fillId="4" borderId="1" xfId="0" applyFont="1" applyFill="1" applyBorder="1">
      <alignment vertical="center"/>
    </xf>
    <xf numFmtId="0" fontId="0" fillId="4" borderId="2" xfId="0" applyFill="1" applyBorder="1">
      <alignment vertical="center"/>
    </xf>
    <xf numFmtId="0" fontId="4" fillId="4" borderId="2" xfId="0" applyFont="1" applyFill="1" applyBorder="1">
      <alignment vertical="center"/>
    </xf>
    <xf numFmtId="0" fontId="4" fillId="4" borderId="0" xfId="0" applyFont="1" applyFill="1">
      <alignment vertical="center"/>
    </xf>
    <xf numFmtId="0" fontId="1" fillId="4" borderId="0" xfId="0" applyFont="1" applyFill="1">
      <alignment vertical="center"/>
    </xf>
    <xf numFmtId="0" fontId="0" fillId="5" borderId="2" xfId="0" applyFill="1" applyBorder="1">
      <alignment vertical="center"/>
    </xf>
    <xf numFmtId="0" fontId="4" fillId="5" borderId="2" xfId="0" applyFont="1" applyFill="1" applyBorder="1">
      <alignment vertical="center"/>
    </xf>
    <xf numFmtId="176" fontId="5" fillId="7" borderId="1" xfId="0" applyNumberFormat="1" applyFont="1" applyFill="1" applyBorder="1">
      <alignment vertical="center"/>
    </xf>
    <xf numFmtId="0" fontId="5" fillId="7" borderId="1" xfId="0" applyFont="1" applyFill="1" applyBorder="1">
      <alignment vertical="center"/>
    </xf>
    <xf numFmtId="0" fontId="4" fillId="7" borderId="1" xfId="0" applyFont="1" applyFill="1" applyBorder="1">
      <alignment vertical="center"/>
    </xf>
    <xf numFmtId="0" fontId="6" fillId="4" borderId="0" xfId="0" applyFont="1" applyFill="1">
      <alignment vertical="center"/>
    </xf>
    <xf numFmtId="0" fontId="1" fillId="4" borderId="0" xfId="0" applyFont="1" applyFill="1" applyAlignment="1">
      <alignment horizontal="right" vertical="center"/>
    </xf>
    <xf numFmtId="0" fontId="0" fillId="6" borderId="1" xfId="0" applyFill="1" applyBorder="1" applyProtection="1">
      <alignment vertical="center"/>
      <protection locked="0"/>
    </xf>
    <xf numFmtId="0" fontId="0" fillId="6" borderId="2" xfId="0" applyFill="1" applyBorder="1" applyProtection="1">
      <alignment vertical="center"/>
      <protection locked="0"/>
    </xf>
    <xf numFmtId="0" fontId="8" fillId="4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right" vertical="center"/>
    </xf>
    <xf numFmtId="0" fontId="7" fillId="3" borderId="0" xfId="0" applyFont="1" applyFill="1">
      <alignment vertical="center"/>
    </xf>
    <xf numFmtId="0" fontId="9" fillId="3" borderId="0" xfId="0" applyFont="1" applyFill="1">
      <alignment vertical="center"/>
    </xf>
    <xf numFmtId="0" fontId="10" fillId="3" borderId="0" xfId="0" applyFont="1" applyFill="1">
      <alignment vertical="center"/>
    </xf>
    <xf numFmtId="0" fontId="11" fillId="3" borderId="0" xfId="0" applyFont="1" applyFill="1">
      <alignment vertical="center"/>
    </xf>
    <xf numFmtId="0" fontId="0" fillId="4" borderId="0" xfId="0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0" fillId="6" borderId="2" xfId="0" applyFill="1" applyBorder="1" applyAlignment="1" applyProtection="1">
      <alignment horizontal="right" vertical="center"/>
      <protection locked="0"/>
    </xf>
    <xf numFmtId="0" fontId="13" fillId="4" borderId="0" xfId="0" applyFont="1" applyFill="1">
      <alignment vertical="center"/>
    </xf>
    <xf numFmtId="0" fontId="8" fillId="4" borderId="0" xfId="0" applyFont="1" applyFill="1" applyAlignment="1">
      <alignment horizontal="left" vertical="center"/>
    </xf>
    <xf numFmtId="0" fontId="0" fillId="6" borderId="0" xfId="0" applyFill="1" applyBorder="1" applyAlignment="1" applyProtection="1">
      <alignment horizontal="right" vertical="center"/>
      <protection locked="0"/>
    </xf>
    <xf numFmtId="0" fontId="14" fillId="3" borderId="0" xfId="0" applyFont="1" applyFill="1" applyAlignment="1">
      <alignment horizontal="right" vertical="center"/>
    </xf>
    <xf numFmtId="0" fontId="0" fillId="4" borderId="0" xfId="0" applyFill="1" applyBorder="1">
      <alignment vertical="center"/>
    </xf>
    <xf numFmtId="0" fontId="4" fillId="4" borderId="0" xfId="0" applyFont="1" applyFill="1" applyBorder="1">
      <alignment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15" fillId="4" borderId="0" xfId="0" applyFont="1" applyFill="1">
      <alignment vertical="center"/>
    </xf>
    <xf numFmtId="0" fontId="17" fillId="4" borderId="0" xfId="0" applyFont="1" applyFill="1" applyAlignment="1">
      <alignment horizontal="center" vertical="center"/>
    </xf>
    <xf numFmtId="0" fontId="19" fillId="4" borderId="0" xfId="1" applyFont="1" applyFill="1" applyAlignment="1" applyProtection="1">
      <alignment horizontal="center" vertical="center"/>
      <protection locked="0"/>
    </xf>
    <xf numFmtId="177" fontId="0" fillId="6" borderId="2" xfId="0" applyNumberFormat="1" applyFill="1" applyBorder="1" applyProtection="1">
      <alignment vertical="center"/>
      <protection locked="0"/>
    </xf>
    <xf numFmtId="177" fontId="0" fillId="6" borderId="2" xfId="0" applyNumberFormat="1" applyFill="1" applyBorder="1" applyAlignment="1" applyProtection="1">
      <alignment horizontal="right" vertical="center"/>
      <protection locked="0"/>
    </xf>
    <xf numFmtId="0" fontId="0" fillId="4" borderId="0" xfId="0" applyFill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7F7F7"/>
      <color rgb="FFECECEC"/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&#12500;&#12525;&#12540;&#12502;&#12525;&#12483;&#12463;&#31934;&#23494;&#35336;&#31639;!A1"/><Relationship Id="rId3" Type="http://schemas.openxmlformats.org/officeDocument/2006/relationships/hyperlink" Target="#&#20001;&#25345;&#12385;&#24335;!A1"/><Relationship Id="rId7" Type="http://schemas.openxmlformats.org/officeDocument/2006/relationships/image" Target="../media/image4.emf"/><Relationship Id="rId2" Type="http://schemas.openxmlformats.org/officeDocument/2006/relationships/image" Target="../media/image1.png"/><Relationship Id="rId1" Type="http://schemas.openxmlformats.org/officeDocument/2006/relationships/hyperlink" Target="#&#12500;&#12525;&#12540;&#12502;&#12525;&#12483;&#12463;!A1"/><Relationship Id="rId6" Type="http://schemas.openxmlformats.org/officeDocument/2006/relationships/image" Target="../media/image3.png"/><Relationship Id="rId5" Type="http://schemas.openxmlformats.org/officeDocument/2006/relationships/hyperlink" Target="#&#29255;&#25345;&#12385;&#24335;!A1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2.png"/><Relationship Id="rId1" Type="http://schemas.openxmlformats.org/officeDocument/2006/relationships/image" Target="../media/image4.emf"/><Relationship Id="rId4" Type="http://schemas.openxmlformats.org/officeDocument/2006/relationships/hyperlink" Target="#&#12514;&#12487;&#12523;&#36984;&#25246;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3.png"/><Relationship Id="rId1" Type="http://schemas.openxmlformats.org/officeDocument/2006/relationships/image" Target="../media/image4.emf"/><Relationship Id="rId4" Type="http://schemas.openxmlformats.org/officeDocument/2006/relationships/hyperlink" Target="#&#12514;&#12487;&#12523;&#36984;&#25246;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&#12514;&#12487;&#12523;&#36984;&#25246;!A1"/><Relationship Id="rId2" Type="http://schemas.openxmlformats.org/officeDocument/2006/relationships/image" Target="../media/image1.png"/><Relationship Id="rId1" Type="http://schemas.openxmlformats.org/officeDocument/2006/relationships/image" Target="../media/image4.emf"/><Relationship Id="rId5" Type="http://schemas.openxmlformats.org/officeDocument/2006/relationships/image" Target="../media/image7.emf"/><Relationship Id="rId4" Type="http://schemas.openxmlformats.org/officeDocument/2006/relationships/image" Target="../media/image6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&#12514;&#12487;&#12523;&#36984;&#25246;!A1"/><Relationship Id="rId2" Type="http://schemas.openxmlformats.org/officeDocument/2006/relationships/image" Target="../media/image1.png"/><Relationship Id="rId1" Type="http://schemas.openxmlformats.org/officeDocument/2006/relationships/image" Target="../media/image4.emf"/><Relationship Id="rId5" Type="http://schemas.openxmlformats.org/officeDocument/2006/relationships/hyperlink" Target="#&#12514;&#12487;&#12523;&#36984;&#25246;!A1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7</xdr:row>
      <xdr:rowOff>0</xdr:rowOff>
    </xdr:from>
    <xdr:to>
      <xdr:col>8</xdr:col>
      <xdr:colOff>1021513</xdr:colOff>
      <xdr:row>12</xdr:row>
      <xdr:rowOff>42750</xdr:rowOff>
    </xdr:to>
    <xdr:pic>
      <xdr:nvPicPr>
        <xdr:cNvPr id="4" name="図 3" descr="pb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752850" y="1247775"/>
          <a:ext cx="1173913" cy="900000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162975</xdr:colOff>
      <xdr:row>12</xdr:row>
      <xdr:rowOff>42750</xdr:rowOff>
    </xdr:to>
    <xdr:pic>
      <xdr:nvPicPr>
        <xdr:cNvPr id="5" name="図 4" descr="slim.pn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85800" y="1200150"/>
          <a:ext cx="1125000" cy="900000"/>
        </a:xfrm>
        <a:prstGeom prst="rect">
          <a:avLst/>
        </a:prstGeom>
        <a:solidFill>
          <a:schemeClr val="bg1"/>
        </a:solidFill>
        <a:ln w="1270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6</xdr:col>
      <xdr:colOff>263165</xdr:colOff>
      <xdr:row>12</xdr:row>
      <xdr:rowOff>42750</xdr:rowOff>
    </xdr:to>
    <xdr:pic>
      <xdr:nvPicPr>
        <xdr:cNvPr id="7" name="図 6" descr="clt2.pn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743200" y="1247775"/>
          <a:ext cx="1244240" cy="900000"/>
        </a:xfrm>
        <a:prstGeom prst="rect">
          <a:avLst/>
        </a:prstGeom>
        <a:solidFill>
          <a:schemeClr val="bg1"/>
        </a:solidFill>
        <a:ln w="1270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6</xdr:col>
      <xdr:colOff>240278</xdr:colOff>
      <xdr:row>1</xdr:row>
      <xdr:rowOff>66675</xdr:rowOff>
    </xdr:from>
    <xdr:to>
      <xdr:col>9</xdr:col>
      <xdr:colOff>171450</xdr:colOff>
      <xdr:row>3</xdr:row>
      <xdr:rowOff>19050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507353" y="238125"/>
          <a:ext cx="1845697" cy="342900"/>
        </a:xfrm>
        <a:prstGeom prst="rect">
          <a:avLst/>
        </a:prstGeom>
        <a:noFill/>
      </xdr:spPr>
    </xdr:pic>
    <xdr:clientData/>
  </xdr:twoCellAnchor>
  <xdr:twoCellAnchor>
    <xdr:from>
      <xdr:col>8</xdr:col>
      <xdr:colOff>238126</xdr:colOff>
      <xdr:row>14</xdr:row>
      <xdr:rowOff>19050</xdr:rowOff>
    </xdr:from>
    <xdr:to>
      <xdr:col>9</xdr:col>
      <xdr:colOff>85725</xdr:colOff>
      <xdr:row>15</xdr:row>
      <xdr:rowOff>57150</xdr:rowOff>
    </xdr:to>
    <xdr:sp macro="" textlink="">
      <xdr:nvSpPr>
        <xdr:cNvPr id="6" name="テキスト ボックス 5">
          <a:hlinkClick xmlns:r="http://schemas.openxmlformats.org/officeDocument/2006/relationships" r:id="rId8"/>
        </xdr:cNvPr>
        <xdr:cNvSpPr txBox="1"/>
      </xdr:nvSpPr>
      <xdr:spPr>
        <a:xfrm>
          <a:off x="4143376" y="2466975"/>
          <a:ext cx="981074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900">
              <a:solidFill>
                <a:srgbClr val="FF0000"/>
              </a:solidFill>
            </a:rPr>
            <a:t>→精密計算版</a:t>
          </a:r>
          <a:endParaRPr kumimoji="1" lang="en-US" altLang="ja-JP" sz="9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3</xdr:row>
      <xdr:rowOff>66675</xdr:rowOff>
    </xdr:from>
    <xdr:to>
      <xdr:col>7</xdr:col>
      <xdr:colOff>133350</xdr:colOff>
      <xdr:row>9</xdr:row>
      <xdr:rowOff>76200</xdr:rowOff>
    </xdr:to>
    <xdr:sp macro="" textlink="">
      <xdr:nvSpPr>
        <xdr:cNvPr id="7" name="角丸四角形 6"/>
        <xdr:cNvSpPr/>
      </xdr:nvSpPr>
      <xdr:spPr>
        <a:xfrm>
          <a:off x="495300" y="504825"/>
          <a:ext cx="2847975" cy="1038225"/>
        </a:xfrm>
        <a:prstGeom prst="roundRect">
          <a:avLst/>
        </a:prstGeom>
        <a:noFill/>
        <a:ln w="3175">
          <a:solidFill>
            <a:schemeClr val="tx1">
              <a:lumMod val="50000"/>
              <a:lumOff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 editAs="oneCell">
    <xdr:from>
      <xdr:col>9</xdr:col>
      <xdr:colOff>133350</xdr:colOff>
      <xdr:row>2</xdr:row>
      <xdr:rowOff>0</xdr:rowOff>
    </xdr:from>
    <xdr:to>
      <xdr:col>11</xdr:col>
      <xdr:colOff>607447</xdr:colOff>
      <xdr:row>3</xdr:row>
      <xdr:rowOff>123825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86225" y="219075"/>
          <a:ext cx="1845697" cy="3429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476250</xdr:colOff>
      <xdr:row>3</xdr:row>
      <xdr:rowOff>123825</xdr:rowOff>
    </xdr:from>
    <xdr:to>
      <xdr:col>6</xdr:col>
      <xdr:colOff>401100</xdr:colOff>
      <xdr:row>8</xdr:row>
      <xdr:rowOff>166575</xdr:rowOff>
    </xdr:to>
    <xdr:pic>
      <xdr:nvPicPr>
        <xdr:cNvPr id="4" name="図 3" descr="slim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52650" y="514350"/>
          <a:ext cx="1125000" cy="900000"/>
        </a:xfrm>
        <a:prstGeom prst="rect">
          <a:avLst/>
        </a:prstGeom>
        <a:solidFill>
          <a:schemeClr val="bg1"/>
        </a:solidFill>
        <a:ln w="0">
          <a:noFill/>
        </a:ln>
        <a:effectLst/>
      </xdr:spPr>
    </xdr:pic>
    <xdr:clientData/>
  </xdr:twoCellAnchor>
  <xdr:twoCellAnchor editAs="oneCell">
    <xdr:from>
      <xdr:col>8</xdr:col>
      <xdr:colOff>485775</xdr:colOff>
      <xdr:row>5</xdr:row>
      <xdr:rowOff>76200</xdr:rowOff>
    </xdr:from>
    <xdr:to>
      <xdr:col>11</xdr:col>
      <xdr:colOff>447675</xdr:colOff>
      <xdr:row>17</xdr:row>
      <xdr:rowOff>27132</xdr:rowOff>
    </xdr:to>
    <xdr:pic>
      <xdr:nvPicPr>
        <xdr:cNvPr id="205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752850" y="857250"/>
          <a:ext cx="2019300" cy="2141682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180974</xdr:colOff>
      <xdr:row>30</xdr:row>
      <xdr:rowOff>85725</xdr:rowOff>
    </xdr:from>
    <xdr:to>
      <xdr:col>11</xdr:col>
      <xdr:colOff>647699</xdr:colOff>
      <xdr:row>32</xdr:row>
      <xdr:rowOff>38100</xdr:rowOff>
    </xdr:to>
    <xdr:sp macro="" textlink="">
      <xdr:nvSpPr>
        <xdr:cNvPr id="8" name="角丸四角形 7">
          <a:hlinkClick xmlns:r="http://schemas.openxmlformats.org/officeDocument/2006/relationships" r:id="rId4"/>
        </xdr:cNvPr>
        <xdr:cNvSpPr/>
      </xdr:nvSpPr>
      <xdr:spPr>
        <a:xfrm>
          <a:off x="4819649" y="4829175"/>
          <a:ext cx="1152525" cy="219075"/>
        </a:xfrm>
        <a:prstGeom prst="roundRect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900"/>
            <a:t>モデル選択へ戻る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3</xdr:row>
      <xdr:rowOff>66675</xdr:rowOff>
    </xdr:from>
    <xdr:to>
      <xdr:col>7</xdr:col>
      <xdr:colOff>0</xdr:colOff>
      <xdr:row>9</xdr:row>
      <xdr:rowOff>76200</xdr:rowOff>
    </xdr:to>
    <xdr:sp macro="" textlink="">
      <xdr:nvSpPr>
        <xdr:cNvPr id="2" name="角丸四角形 1"/>
        <xdr:cNvSpPr/>
      </xdr:nvSpPr>
      <xdr:spPr>
        <a:xfrm>
          <a:off x="333375" y="504825"/>
          <a:ext cx="2733675" cy="1038225"/>
        </a:xfrm>
        <a:prstGeom prst="roundRect">
          <a:avLst/>
        </a:prstGeom>
        <a:noFill/>
        <a:ln w="3175">
          <a:solidFill>
            <a:schemeClr val="tx1">
              <a:lumMod val="50000"/>
              <a:lumOff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 editAs="oneCell">
    <xdr:from>
      <xdr:col>9</xdr:col>
      <xdr:colOff>133350</xdr:colOff>
      <xdr:row>2</xdr:row>
      <xdr:rowOff>0</xdr:rowOff>
    </xdr:from>
    <xdr:to>
      <xdr:col>11</xdr:col>
      <xdr:colOff>607447</xdr:colOff>
      <xdr:row>3</xdr:row>
      <xdr:rowOff>123825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86225" y="219075"/>
          <a:ext cx="1845697" cy="3429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409576</xdr:colOff>
      <xdr:row>4</xdr:row>
      <xdr:rowOff>54649</xdr:rowOff>
    </xdr:from>
    <xdr:to>
      <xdr:col>6</xdr:col>
      <xdr:colOff>342901</xdr:colOff>
      <xdr:row>8</xdr:row>
      <xdr:rowOff>140501</xdr:rowOff>
    </xdr:to>
    <xdr:pic>
      <xdr:nvPicPr>
        <xdr:cNvPr id="4" name="図 3" descr="slim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38326" y="664249"/>
          <a:ext cx="1066800" cy="771652"/>
        </a:xfrm>
        <a:prstGeom prst="rect">
          <a:avLst/>
        </a:prstGeom>
        <a:solidFill>
          <a:schemeClr val="bg1"/>
        </a:solidFill>
        <a:ln w="0">
          <a:noFill/>
        </a:ln>
        <a:effectLst/>
      </xdr:spPr>
    </xdr:pic>
    <xdr:clientData/>
  </xdr:twoCellAnchor>
  <xdr:twoCellAnchor editAs="oneCell">
    <xdr:from>
      <xdr:col>8</xdr:col>
      <xdr:colOff>485775</xdr:colOff>
      <xdr:row>5</xdr:row>
      <xdr:rowOff>76200</xdr:rowOff>
    </xdr:from>
    <xdr:to>
      <xdr:col>11</xdr:col>
      <xdr:colOff>447675</xdr:colOff>
      <xdr:row>17</xdr:row>
      <xdr:rowOff>27132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752850" y="857250"/>
          <a:ext cx="2019300" cy="2141682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180974</xdr:colOff>
      <xdr:row>28</xdr:row>
      <xdr:rowOff>85725</xdr:rowOff>
    </xdr:from>
    <xdr:to>
      <xdr:col>11</xdr:col>
      <xdr:colOff>647699</xdr:colOff>
      <xdr:row>30</xdr:row>
      <xdr:rowOff>38100</xdr:rowOff>
    </xdr:to>
    <xdr:sp macro="" textlink="">
      <xdr:nvSpPr>
        <xdr:cNvPr id="6" name="角丸四角形 5">
          <a:hlinkClick xmlns:r="http://schemas.openxmlformats.org/officeDocument/2006/relationships" r:id="rId4"/>
        </xdr:cNvPr>
        <xdr:cNvSpPr/>
      </xdr:nvSpPr>
      <xdr:spPr>
        <a:xfrm>
          <a:off x="4819649" y="4829175"/>
          <a:ext cx="1152525" cy="219075"/>
        </a:xfrm>
        <a:prstGeom prst="roundRect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900"/>
            <a:t>モデル選択へ戻る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3</xdr:row>
      <xdr:rowOff>66675</xdr:rowOff>
    </xdr:from>
    <xdr:to>
      <xdr:col>6</xdr:col>
      <xdr:colOff>600075</xdr:colOff>
      <xdr:row>9</xdr:row>
      <xdr:rowOff>76200</xdr:rowOff>
    </xdr:to>
    <xdr:sp macro="" textlink="">
      <xdr:nvSpPr>
        <xdr:cNvPr id="2" name="角丸四角形 1"/>
        <xdr:cNvSpPr/>
      </xdr:nvSpPr>
      <xdr:spPr>
        <a:xfrm>
          <a:off x="333375" y="504825"/>
          <a:ext cx="2828925" cy="1038225"/>
        </a:xfrm>
        <a:prstGeom prst="roundRect">
          <a:avLst/>
        </a:prstGeom>
        <a:noFill/>
        <a:ln w="3175">
          <a:solidFill>
            <a:schemeClr val="tx1">
              <a:lumMod val="50000"/>
              <a:lumOff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 editAs="oneCell">
    <xdr:from>
      <xdr:col>9</xdr:col>
      <xdr:colOff>133350</xdr:colOff>
      <xdr:row>2</xdr:row>
      <xdr:rowOff>0</xdr:rowOff>
    </xdr:from>
    <xdr:to>
      <xdr:col>11</xdr:col>
      <xdr:colOff>607447</xdr:colOff>
      <xdr:row>3</xdr:row>
      <xdr:rowOff>123825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86225" y="219075"/>
          <a:ext cx="1845697" cy="3429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427981</xdr:colOff>
      <xdr:row>3</xdr:row>
      <xdr:rowOff>152400</xdr:rowOff>
    </xdr:from>
    <xdr:to>
      <xdr:col>6</xdr:col>
      <xdr:colOff>468419</xdr:colOff>
      <xdr:row>9</xdr:row>
      <xdr:rowOff>23700</xdr:rowOff>
    </xdr:to>
    <xdr:pic>
      <xdr:nvPicPr>
        <xdr:cNvPr id="4" name="図 3" descr="slim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56731" y="590550"/>
          <a:ext cx="1173913" cy="900000"/>
        </a:xfrm>
        <a:prstGeom prst="rect">
          <a:avLst/>
        </a:prstGeom>
        <a:solidFill>
          <a:schemeClr val="bg1"/>
        </a:solidFill>
        <a:ln w="0">
          <a:noFill/>
        </a:ln>
        <a:effectLst/>
      </xdr:spPr>
    </xdr:pic>
    <xdr:clientData/>
  </xdr:twoCellAnchor>
  <xdr:twoCellAnchor>
    <xdr:from>
      <xdr:col>13</xdr:col>
      <xdr:colOff>1485900</xdr:colOff>
      <xdr:row>29</xdr:row>
      <xdr:rowOff>142875</xdr:rowOff>
    </xdr:from>
    <xdr:to>
      <xdr:col>13</xdr:col>
      <xdr:colOff>2762250</xdr:colOff>
      <xdr:row>31</xdr:row>
      <xdr:rowOff>66674</xdr:rowOff>
    </xdr:to>
    <xdr:sp macro="" textlink="">
      <xdr:nvSpPr>
        <xdr:cNvPr id="6" name="角丸四角形 5">
          <a:hlinkClick xmlns:r="http://schemas.openxmlformats.org/officeDocument/2006/relationships" r:id="rId3"/>
        </xdr:cNvPr>
        <xdr:cNvSpPr/>
      </xdr:nvSpPr>
      <xdr:spPr>
        <a:xfrm>
          <a:off x="7800975" y="5276850"/>
          <a:ext cx="1276350" cy="266699"/>
        </a:xfrm>
        <a:prstGeom prst="roundRect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900"/>
            <a:t>モデル選択へ戻る</a:t>
          </a:r>
        </a:p>
      </xdr:txBody>
    </xdr:sp>
    <xdr:clientData/>
  </xdr:twoCellAnchor>
  <xdr:twoCellAnchor editAs="oneCell">
    <xdr:from>
      <xdr:col>9</xdr:col>
      <xdr:colOff>381000</xdr:colOff>
      <xdr:row>4</xdr:row>
      <xdr:rowOff>161925</xdr:rowOff>
    </xdr:from>
    <xdr:to>
      <xdr:col>13</xdr:col>
      <xdr:colOff>28574</xdr:colOff>
      <xdr:row>19</xdr:row>
      <xdr:rowOff>62794</xdr:rowOff>
    </xdr:to>
    <xdr:pic>
      <xdr:nvPicPr>
        <xdr:cNvPr id="10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971925" y="771525"/>
          <a:ext cx="2371724" cy="2605969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504825</xdr:colOff>
      <xdr:row>4</xdr:row>
      <xdr:rowOff>58412</xdr:rowOff>
    </xdr:from>
    <xdr:to>
      <xdr:col>13</xdr:col>
      <xdr:colOff>2752725</xdr:colOff>
      <xdr:row>17</xdr:row>
      <xdr:rowOff>38100</xdr:rowOff>
    </xdr:to>
    <xdr:pic>
      <xdr:nvPicPr>
        <xdr:cNvPr id="103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819900" y="668012"/>
          <a:ext cx="2247900" cy="2341888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3</xdr:row>
      <xdr:rowOff>142875</xdr:rowOff>
    </xdr:from>
    <xdr:to>
      <xdr:col>6</xdr:col>
      <xdr:colOff>571500</xdr:colOff>
      <xdr:row>9</xdr:row>
      <xdr:rowOff>152400</xdr:rowOff>
    </xdr:to>
    <xdr:sp macro="" textlink="">
      <xdr:nvSpPr>
        <xdr:cNvPr id="2" name="角丸四角形 1"/>
        <xdr:cNvSpPr/>
      </xdr:nvSpPr>
      <xdr:spPr>
        <a:xfrm>
          <a:off x="304800" y="581025"/>
          <a:ext cx="2828925" cy="1038225"/>
        </a:xfrm>
        <a:prstGeom prst="roundRect">
          <a:avLst/>
        </a:prstGeom>
        <a:noFill/>
        <a:ln w="3175">
          <a:solidFill>
            <a:schemeClr val="tx1">
              <a:lumMod val="50000"/>
              <a:lumOff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 editAs="oneCell">
    <xdr:from>
      <xdr:col>9</xdr:col>
      <xdr:colOff>133350</xdr:colOff>
      <xdr:row>2</xdr:row>
      <xdr:rowOff>0</xdr:rowOff>
    </xdr:from>
    <xdr:to>
      <xdr:col>11</xdr:col>
      <xdr:colOff>607447</xdr:colOff>
      <xdr:row>4</xdr:row>
      <xdr:rowOff>47625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24275" y="219075"/>
          <a:ext cx="1845697" cy="3429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408931</xdr:colOff>
      <xdr:row>4</xdr:row>
      <xdr:rowOff>66675</xdr:rowOff>
    </xdr:from>
    <xdr:to>
      <xdr:col>6</xdr:col>
      <xdr:colOff>449369</xdr:colOff>
      <xdr:row>9</xdr:row>
      <xdr:rowOff>109425</xdr:rowOff>
    </xdr:to>
    <xdr:pic>
      <xdr:nvPicPr>
        <xdr:cNvPr id="4" name="図 3" descr="slim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37681" y="581025"/>
          <a:ext cx="1173913" cy="900000"/>
        </a:xfrm>
        <a:prstGeom prst="rect">
          <a:avLst/>
        </a:prstGeom>
        <a:solidFill>
          <a:schemeClr val="bg1"/>
        </a:solidFill>
        <a:ln w="0">
          <a:noFill/>
        </a:ln>
        <a:effectLst/>
      </xdr:spPr>
    </xdr:pic>
    <xdr:clientData/>
  </xdr:twoCellAnchor>
  <xdr:twoCellAnchor>
    <xdr:from>
      <xdr:col>16</xdr:col>
      <xdr:colOff>1609725</xdr:colOff>
      <xdr:row>37</xdr:row>
      <xdr:rowOff>66675</xdr:rowOff>
    </xdr:from>
    <xdr:to>
      <xdr:col>16</xdr:col>
      <xdr:colOff>2886075</xdr:colOff>
      <xdr:row>39</xdr:row>
      <xdr:rowOff>66674</xdr:rowOff>
    </xdr:to>
    <xdr:sp macro="" textlink="">
      <xdr:nvSpPr>
        <xdr:cNvPr id="5" name="角丸四角形 4">
          <a:hlinkClick xmlns:r="http://schemas.openxmlformats.org/officeDocument/2006/relationships" r:id="rId3"/>
        </xdr:cNvPr>
        <xdr:cNvSpPr/>
      </xdr:nvSpPr>
      <xdr:spPr>
        <a:xfrm>
          <a:off x="7924800" y="5619750"/>
          <a:ext cx="1276350" cy="266699"/>
        </a:xfrm>
        <a:prstGeom prst="roundRect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900"/>
            <a:t>モデル選択へ戻る</a:t>
          </a:r>
        </a:p>
      </xdr:txBody>
    </xdr:sp>
    <xdr:clientData/>
  </xdr:twoCellAnchor>
  <xdr:twoCellAnchor editAs="oneCell">
    <xdr:from>
      <xdr:col>10</xdr:col>
      <xdr:colOff>47625</xdr:colOff>
      <xdr:row>3</xdr:row>
      <xdr:rowOff>47625</xdr:rowOff>
    </xdr:from>
    <xdr:to>
      <xdr:col>14</xdr:col>
      <xdr:colOff>559260</xdr:colOff>
      <xdr:row>18</xdr:row>
      <xdr:rowOff>142875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419600" y="485775"/>
          <a:ext cx="3216735" cy="2809875"/>
        </a:xfrm>
        <a:prstGeom prst="rect">
          <a:avLst/>
        </a:prstGeom>
        <a:noFill/>
      </xdr:spPr>
    </xdr:pic>
    <xdr:clientData/>
  </xdr:twoCellAnchor>
  <xdr:twoCellAnchor>
    <xdr:from>
      <xdr:col>14</xdr:col>
      <xdr:colOff>200025</xdr:colOff>
      <xdr:row>33</xdr:row>
      <xdr:rowOff>19050</xdr:rowOff>
    </xdr:from>
    <xdr:to>
      <xdr:col>16</xdr:col>
      <xdr:colOff>142875</xdr:colOff>
      <xdr:row>34</xdr:row>
      <xdr:rowOff>114299</xdr:rowOff>
    </xdr:to>
    <xdr:sp macro="" textlink="">
      <xdr:nvSpPr>
        <xdr:cNvPr id="10" name="角丸四角形 9">
          <a:hlinkClick xmlns:r="http://schemas.openxmlformats.org/officeDocument/2006/relationships" r:id="rId5"/>
        </xdr:cNvPr>
        <xdr:cNvSpPr/>
      </xdr:nvSpPr>
      <xdr:spPr>
        <a:xfrm>
          <a:off x="7277100" y="6048375"/>
          <a:ext cx="1276350" cy="266699"/>
        </a:xfrm>
        <a:prstGeom prst="roundRect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900"/>
            <a:t>モデル選択へ戻る</a:t>
          </a:r>
        </a:p>
      </xdr:txBody>
    </xdr:sp>
    <xdr:clientData/>
  </xdr:twoCellAnchor>
  <xdr:twoCellAnchor>
    <xdr:from>
      <xdr:col>11</xdr:col>
      <xdr:colOff>581025</xdr:colOff>
      <xdr:row>27</xdr:row>
      <xdr:rowOff>95250</xdr:rowOff>
    </xdr:from>
    <xdr:to>
      <xdr:col>16</xdr:col>
      <xdr:colOff>171450</xdr:colOff>
      <xdr:row>32</xdr:row>
      <xdr:rowOff>66675</xdr:rowOff>
    </xdr:to>
    <xdr:sp macro="" textlink="">
      <xdr:nvSpPr>
        <xdr:cNvPr id="9" name="角丸四角形 8"/>
        <xdr:cNvSpPr/>
      </xdr:nvSpPr>
      <xdr:spPr>
        <a:xfrm>
          <a:off x="5638800" y="5000625"/>
          <a:ext cx="2943225" cy="923925"/>
        </a:xfrm>
        <a:prstGeom prst="roundRect">
          <a:avLst/>
        </a:prstGeom>
        <a:noFill/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みやび">
      <a:dk1>
        <a:sysClr val="windowText" lastClr="000000"/>
      </a:dk1>
      <a:lt1>
        <a:sysClr val="window" lastClr="FFFFFF"/>
      </a:lt1>
      <a:dk2>
        <a:srgbClr val="975C1E"/>
      </a:dk2>
      <a:lt2>
        <a:srgbClr val="FFE880"/>
      </a:lt2>
      <a:accent1>
        <a:srgbClr val="E3560E"/>
      </a:accent1>
      <a:accent2>
        <a:srgbClr val="5C5943"/>
      </a:accent2>
      <a:accent3>
        <a:srgbClr val="F1AB3B"/>
      </a:accent3>
      <a:accent4>
        <a:srgbClr val="6D8A16"/>
      </a:accent4>
      <a:accent5>
        <a:srgbClr val="73AAC0"/>
      </a:accent5>
      <a:accent6>
        <a:srgbClr val="3E68AF"/>
      </a:accent6>
      <a:hlink>
        <a:srgbClr val="0000F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>
            <a:lumMod val="95000"/>
          </a:schemeClr>
        </a:solidFill>
        <a:ln>
          <a:noFill/>
        </a:ln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17"/>
  <sheetViews>
    <sheetView tabSelected="1" workbookViewId="0">
      <selection activeCell="G30" sqref="G30"/>
    </sheetView>
  </sheetViews>
  <sheetFormatPr defaultRowHeight="13.5"/>
  <cols>
    <col min="1" max="1" width="7.125" style="1" customWidth="1"/>
    <col min="2" max="2" width="3.625" style="1" customWidth="1"/>
    <col min="3" max="3" width="9" style="1"/>
    <col min="4" max="4" width="8.375" style="1" customWidth="1"/>
    <col min="5" max="5" width="3.875" style="1" customWidth="1"/>
    <col min="6" max="6" width="9" style="1"/>
    <col min="7" max="7" width="7.25" style="1" customWidth="1"/>
    <col min="8" max="8" width="3" style="1" customWidth="1"/>
    <col min="9" max="9" width="14.875" style="1" customWidth="1"/>
    <col min="10" max="10" width="2.5" style="1" customWidth="1"/>
    <col min="11" max="11" width="4.375" style="1" customWidth="1"/>
    <col min="12" max="16384" width="9" style="1"/>
  </cols>
  <sheetData>
    <row r="1" spans="1:1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7.25">
      <c r="A2" s="3"/>
      <c r="B2" s="4" t="s">
        <v>2</v>
      </c>
      <c r="C2" s="3"/>
      <c r="D2" s="3"/>
      <c r="E2" s="3"/>
      <c r="F2" s="3"/>
      <c r="G2" s="3"/>
      <c r="H2" s="3"/>
      <c r="I2" s="3"/>
      <c r="J2" s="3"/>
      <c r="K2" s="3"/>
    </row>
    <row r="3" spans="1:11">
      <c r="A3" s="3"/>
      <c r="B3" s="3" t="s">
        <v>49</v>
      </c>
      <c r="C3" s="3"/>
      <c r="D3" s="3"/>
      <c r="E3" s="3"/>
      <c r="F3" s="3"/>
      <c r="G3" s="3"/>
      <c r="H3" s="3"/>
      <c r="I3" s="3"/>
      <c r="J3" s="3"/>
      <c r="K3" s="3"/>
    </row>
    <row r="4" spans="1:1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3"/>
      <c r="B6" s="3" t="s">
        <v>3</v>
      </c>
      <c r="C6" s="3"/>
      <c r="D6" s="3"/>
      <c r="E6" s="3"/>
      <c r="F6" s="3"/>
      <c r="G6" s="3"/>
      <c r="H6" s="3"/>
      <c r="I6" s="3"/>
      <c r="J6" s="3"/>
      <c r="K6" s="3"/>
    </row>
    <row r="7" spans="1:1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>
      <c r="A14" s="50" t="s">
        <v>86</v>
      </c>
      <c r="B14" s="50"/>
      <c r="C14" s="50"/>
      <c r="D14" s="50"/>
      <c r="E14" s="3"/>
      <c r="F14" s="3" t="s">
        <v>36</v>
      </c>
      <c r="G14" s="3"/>
      <c r="H14" s="3"/>
      <c r="I14" s="3" t="s">
        <v>1</v>
      </c>
      <c r="J14" s="3"/>
      <c r="K14" s="3"/>
    </row>
    <row r="15" spans="1:11">
      <c r="A15" s="3"/>
      <c r="B15" s="3" t="s">
        <v>0</v>
      </c>
      <c r="C15" s="3"/>
      <c r="D15" s="3"/>
      <c r="E15" s="3"/>
      <c r="F15" s="3"/>
      <c r="G15" s="3"/>
      <c r="H15" s="3"/>
      <c r="I15" s="47"/>
      <c r="J15" s="3"/>
      <c r="K15" s="3"/>
    </row>
    <row r="16" spans="1:1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</sheetData>
  <sheetProtection password="CC22" sheet="1" objects="1" scenarios="1" selectLockedCells="1" selectUnlockedCells="1"/>
  <mergeCells count="1">
    <mergeCell ref="A14:D14"/>
  </mergeCells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B1:Q33"/>
  <sheetViews>
    <sheetView workbookViewId="0">
      <selection activeCell="G13" sqref="G13"/>
    </sheetView>
  </sheetViews>
  <sheetFormatPr defaultRowHeight="13.5"/>
  <cols>
    <col min="1" max="1" width="2.375" style="2" customWidth="1"/>
    <col min="2" max="2" width="3.375" style="2" customWidth="1"/>
    <col min="3" max="3" width="4" style="2" customWidth="1"/>
    <col min="4" max="5" width="9" style="2"/>
    <col min="6" max="6" width="6.75" style="2" customWidth="1"/>
    <col min="7" max="7" width="6.625" style="2" customWidth="1"/>
    <col min="8" max="8" width="2.625" style="2" customWidth="1"/>
    <col min="9" max="11" width="9" style="2"/>
    <col min="12" max="12" width="11" style="2" customWidth="1"/>
    <col min="13" max="13" width="6.25" style="2" customWidth="1"/>
    <col min="14" max="14" width="4.5" style="2" customWidth="1"/>
    <col min="15" max="15" width="37.875" style="25" customWidth="1"/>
    <col min="16" max="16" width="9" style="25"/>
    <col min="17" max="16384" width="9" style="2"/>
  </cols>
  <sheetData>
    <row r="1" spans="2:16" ht="10.5" customHeight="1"/>
    <row r="2" spans="2:16" ht="6.7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2:16" ht="17.25">
      <c r="B3" s="3"/>
      <c r="C3" s="4" t="s">
        <v>2</v>
      </c>
      <c r="D3" s="3"/>
      <c r="E3" s="3"/>
      <c r="F3" s="3"/>
      <c r="G3" s="3"/>
      <c r="H3" s="3"/>
      <c r="I3" s="3"/>
      <c r="J3" s="3"/>
      <c r="K3" s="3"/>
      <c r="L3" s="3"/>
    </row>
    <row r="4" spans="2:16">
      <c r="B4" s="3"/>
      <c r="C4" s="3"/>
      <c r="D4" s="3"/>
      <c r="E4" s="3"/>
      <c r="F4" s="3"/>
      <c r="G4" s="3"/>
      <c r="H4" s="3"/>
      <c r="I4" s="3"/>
      <c r="J4" s="3"/>
      <c r="K4" s="3"/>
      <c r="L4" s="3"/>
      <c r="O4" s="25" t="s">
        <v>24</v>
      </c>
      <c r="P4" s="25" t="b">
        <f>IF(G16&gt;0,TRUE,FALSE)</f>
        <v>0</v>
      </c>
    </row>
    <row r="5" spans="2:16">
      <c r="B5" s="3"/>
      <c r="C5" s="3" t="s">
        <v>37</v>
      </c>
      <c r="D5" s="3"/>
      <c r="E5" s="3"/>
      <c r="F5" s="3"/>
      <c r="G5" s="3"/>
      <c r="H5" s="3"/>
      <c r="I5" s="3"/>
      <c r="J5" s="3"/>
      <c r="K5" s="3"/>
      <c r="L5" s="3"/>
      <c r="O5" s="25" t="s">
        <v>22</v>
      </c>
      <c r="P5" s="25" t="e">
        <f>IF(G26*2/3&lt;G17/2,TRUE,FALSE)</f>
        <v>#VALUE!</v>
      </c>
    </row>
    <row r="6" spans="2:16">
      <c r="B6" s="3"/>
      <c r="C6" s="3" t="s">
        <v>4</v>
      </c>
      <c r="D6" s="3"/>
      <c r="E6" s="3"/>
      <c r="F6" s="3"/>
      <c r="G6" s="3"/>
      <c r="H6" s="3"/>
      <c r="I6" s="3"/>
      <c r="J6" s="3"/>
      <c r="K6" s="3"/>
      <c r="L6" s="3"/>
      <c r="O6" s="25" t="s">
        <v>20</v>
      </c>
      <c r="P6" s="25" t="b">
        <f>IF(G17/2&gt;G26,TRUE,FALSE)</f>
        <v>0</v>
      </c>
    </row>
    <row r="7" spans="2:16"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2:16">
      <c r="B8" s="3"/>
      <c r="C8" s="3" t="s">
        <v>5</v>
      </c>
      <c r="D8" s="3"/>
      <c r="E8" s="3"/>
      <c r="F8" s="3"/>
      <c r="G8" s="3"/>
      <c r="H8" s="3"/>
      <c r="I8" s="3"/>
      <c r="J8" s="3"/>
      <c r="K8" s="3"/>
      <c r="L8" s="3"/>
      <c r="O8" s="25" t="s">
        <v>28</v>
      </c>
    </row>
    <row r="9" spans="2:16">
      <c r="B9" s="3"/>
      <c r="C9" s="3"/>
      <c r="D9" s="3"/>
      <c r="E9" s="3"/>
      <c r="F9" s="3"/>
      <c r="G9" s="3"/>
      <c r="H9" s="3"/>
      <c r="I9" s="3"/>
      <c r="J9" s="3"/>
      <c r="K9" s="3"/>
      <c r="L9" s="3"/>
      <c r="O9" s="25" t="s">
        <v>21</v>
      </c>
    </row>
    <row r="10" spans="2:16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O10" s="25" t="str">
        <f>"必ず"&amp;G17/2&amp;"N以上の許容荷重を持ったモデルを選定して下さい"</f>
        <v>必ず0N以上の許容荷重を持ったモデルを選定して下さい</v>
      </c>
    </row>
    <row r="11" spans="2:16">
      <c r="B11" s="3"/>
      <c r="C11" s="3" t="s">
        <v>29</v>
      </c>
      <c r="D11" s="3"/>
      <c r="E11" s="3"/>
      <c r="F11" s="3"/>
      <c r="G11" s="3"/>
      <c r="H11" s="3"/>
      <c r="I11" s="3"/>
      <c r="J11" s="3"/>
      <c r="K11" s="3"/>
      <c r="L11" s="3"/>
    </row>
    <row r="12" spans="2:16" ht="5.25" customHeight="1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O12" s="25" t="s">
        <v>23</v>
      </c>
    </row>
    <row r="13" spans="2:16" ht="17.25" customHeight="1">
      <c r="B13" s="3"/>
      <c r="C13" s="6" t="s">
        <v>10</v>
      </c>
      <c r="D13" s="7" t="s">
        <v>6</v>
      </c>
      <c r="E13" s="6"/>
      <c r="F13" s="6"/>
      <c r="G13" s="19"/>
      <c r="H13" s="6" t="s">
        <v>15</v>
      </c>
      <c r="I13" s="3"/>
      <c r="J13" s="3"/>
      <c r="K13" s="3"/>
      <c r="L13" s="3"/>
      <c r="O13" s="25" t="s">
        <v>31</v>
      </c>
    </row>
    <row r="14" spans="2:16" ht="17.25" customHeight="1">
      <c r="B14" s="3"/>
      <c r="C14" s="12" t="s">
        <v>11</v>
      </c>
      <c r="D14" s="13" t="s">
        <v>84</v>
      </c>
      <c r="E14" s="12"/>
      <c r="F14" s="12"/>
      <c r="G14" s="20">
        <v>1.5</v>
      </c>
      <c r="H14" s="12"/>
      <c r="I14" s="3"/>
      <c r="J14" s="3"/>
      <c r="K14" s="3"/>
      <c r="L14" s="3"/>
    </row>
    <row r="15" spans="2:16" ht="17.25" customHeight="1">
      <c r="B15" s="3"/>
      <c r="C15" s="8" t="s">
        <v>12</v>
      </c>
      <c r="D15" s="9" t="s">
        <v>7</v>
      </c>
      <c r="E15" s="8"/>
      <c r="F15" s="8"/>
      <c r="G15" s="20"/>
      <c r="H15" s="8" t="s">
        <v>16</v>
      </c>
      <c r="I15" s="3"/>
      <c r="J15" s="3"/>
      <c r="K15" s="3"/>
      <c r="L15" s="3"/>
      <c r="O15" s="25" t="str">
        <f>"仕様に問題ありません。"&amp;ROUNDUP(P23,0)&amp;"Nより大きな許容荷重のモデルを選定してください"</f>
        <v>仕様に問題ありません。0Nより大きな許容荷重のモデルを選定してください</v>
      </c>
    </row>
    <row r="16" spans="2:16" ht="17.25" customHeight="1">
      <c r="B16" s="3"/>
      <c r="C16" s="12" t="s">
        <v>13</v>
      </c>
      <c r="D16" s="13" t="s">
        <v>81</v>
      </c>
      <c r="E16" s="12"/>
      <c r="F16" s="12"/>
      <c r="G16" s="20"/>
      <c r="H16" s="12" t="s">
        <v>16</v>
      </c>
      <c r="I16" s="3"/>
      <c r="J16" s="3"/>
      <c r="K16" s="3"/>
      <c r="L16" s="3"/>
    </row>
    <row r="17" spans="2:17" ht="17.25" customHeight="1">
      <c r="B17" s="3"/>
      <c r="C17" s="6" t="s">
        <v>14</v>
      </c>
      <c r="D17" s="7" t="s">
        <v>8</v>
      </c>
      <c r="E17" s="6"/>
      <c r="F17" s="6"/>
      <c r="G17" s="19"/>
      <c r="H17" s="8" t="s">
        <v>15</v>
      </c>
      <c r="I17" s="3"/>
      <c r="J17" s="3"/>
      <c r="K17" s="3"/>
      <c r="L17" s="3"/>
    </row>
    <row r="18" spans="2:17" ht="6" customHeight="1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O18" s="25" t="s">
        <v>26</v>
      </c>
    </row>
    <row r="19" spans="2:17">
      <c r="B19" s="3"/>
      <c r="C19" s="3" t="s">
        <v>82</v>
      </c>
      <c r="D19" s="3"/>
      <c r="E19" s="3"/>
      <c r="F19" s="3"/>
      <c r="G19" s="3"/>
      <c r="H19" s="3"/>
      <c r="I19" s="3"/>
      <c r="J19" s="3"/>
      <c r="K19" s="3"/>
      <c r="L19" s="3"/>
      <c r="O19" s="25" t="s">
        <v>27</v>
      </c>
    </row>
    <row r="20" spans="2:17">
      <c r="B20" s="3"/>
      <c r="C20" s="3"/>
      <c r="D20" s="3" t="s">
        <v>85</v>
      </c>
      <c r="E20" s="3"/>
      <c r="F20" s="3"/>
      <c r="G20" s="3"/>
      <c r="H20" s="3"/>
      <c r="I20" s="3"/>
      <c r="J20" s="3"/>
      <c r="K20" s="3"/>
      <c r="L20" s="21" t="s">
        <v>35</v>
      </c>
      <c r="M20" s="22"/>
    </row>
    <row r="21" spans="2:17" ht="12.75" customHeight="1">
      <c r="B21" s="3"/>
      <c r="C21" s="17" t="s">
        <v>83</v>
      </c>
      <c r="D21" s="3"/>
      <c r="E21" s="3"/>
      <c r="F21" s="3"/>
      <c r="G21" s="3"/>
      <c r="H21" s="3"/>
      <c r="I21" s="3"/>
      <c r="J21" s="3"/>
      <c r="K21" s="3"/>
      <c r="L21" s="3"/>
    </row>
    <row r="22" spans="2:17" ht="12.75" customHeight="1">
      <c r="B22" s="3"/>
      <c r="C22" s="3"/>
      <c r="D22" s="17" t="s">
        <v>18</v>
      </c>
      <c r="E22" s="3"/>
      <c r="F22" s="3"/>
      <c r="G22" s="3"/>
      <c r="H22" s="3"/>
      <c r="I22" s="3"/>
      <c r="J22" s="3"/>
      <c r="K22" s="3"/>
      <c r="L22" s="3"/>
      <c r="O22" s="26"/>
      <c r="P22" s="25" t="b">
        <f>IF(OR(G13="",G14="",G15="",G16="",G17=""),FALSE,TRUE)</f>
        <v>0</v>
      </c>
    </row>
    <row r="23" spans="2:17" s="5" customFormat="1" ht="12.75" customHeight="1">
      <c r="B23" s="10"/>
      <c r="C23" s="17" t="s">
        <v>19</v>
      </c>
      <c r="D23" s="3"/>
      <c r="E23" s="3"/>
      <c r="F23" s="3"/>
      <c r="G23" s="3"/>
      <c r="H23" s="3"/>
      <c r="I23" s="3"/>
      <c r="J23" s="3"/>
      <c r="K23" s="10"/>
      <c r="L23" s="10"/>
      <c r="O23" s="26"/>
      <c r="P23" s="26">
        <f>G13*G14*SIN(RADIANS(G15/2))+(G17/2*SIN(RADIANS(G16)))</f>
        <v>0</v>
      </c>
      <c r="Q23" s="2"/>
    </row>
    <row r="24" spans="2:17" ht="6.75" customHeight="1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2:17" ht="17.25" customHeight="1">
      <c r="B25" s="3"/>
      <c r="C25" s="10"/>
      <c r="D25" s="10"/>
      <c r="E25" s="10"/>
      <c r="F25" s="10"/>
      <c r="G25" s="10"/>
      <c r="H25" s="18" t="str">
        <f>IF(P22=FALSE,O18,O19)</f>
        <v>空欄があります。すべて入力してください</v>
      </c>
      <c r="I25" s="10"/>
      <c r="J25" s="3"/>
      <c r="K25" s="3"/>
      <c r="L25" s="3"/>
    </row>
    <row r="26" spans="2:17" ht="14.25">
      <c r="B26" s="3"/>
      <c r="C26" s="3"/>
      <c r="D26" s="3"/>
      <c r="E26" s="3"/>
      <c r="F26" s="16" t="s">
        <v>17</v>
      </c>
      <c r="G26" s="14" t="str">
        <f>IF(P22=TRUE,ROUNDUP(P23,0),"")</f>
        <v/>
      </c>
      <c r="H26" s="15" t="s">
        <v>15</v>
      </c>
      <c r="I26" s="3"/>
      <c r="J26" s="3"/>
      <c r="K26" s="3"/>
      <c r="L26" s="3"/>
    </row>
    <row r="27" spans="2:17">
      <c r="B27" s="3"/>
      <c r="C27" s="11" t="str">
        <f>IF(P22=TRUE,IF(AND(P6=FALSE,P5=TRUE,P4=TRUE),O8,IF(P6=TRUE,O8,"")),"")</f>
        <v/>
      </c>
      <c r="D27" s="3"/>
      <c r="E27" s="3"/>
      <c r="F27" s="3"/>
      <c r="G27" s="3"/>
      <c r="H27" s="3"/>
      <c r="I27" s="3"/>
      <c r="J27" s="3"/>
      <c r="K27" s="3"/>
      <c r="L27" s="3"/>
    </row>
    <row r="28" spans="2:17">
      <c r="B28" s="3"/>
      <c r="C28" s="11" t="str">
        <f>IF(P22=TRUE,IF(AND(P6=FALSE,P5=TRUE,P4=TRUE),O12,IF(P6=TRUE,O9,O15)),"")</f>
        <v/>
      </c>
      <c r="D28" s="3"/>
      <c r="E28" s="3"/>
      <c r="F28" s="3"/>
      <c r="G28" s="3"/>
      <c r="H28" s="3"/>
      <c r="I28" s="3"/>
      <c r="J28" s="3"/>
      <c r="K28" s="3"/>
      <c r="L28" s="3"/>
    </row>
    <row r="29" spans="2:17">
      <c r="B29" s="3"/>
      <c r="C29" s="11" t="str">
        <f>IF(P22=TRUE,IF(AND(P6=FALSE,P5=TRUE,P4=TRUE),O13,IF(P6=TRUE,O10,"")),"")</f>
        <v/>
      </c>
      <c r="D29" s="3"/>
      <c r="E29" s="3"/>
      <c r="F29" s="3"/>
      <c r="G29" s="3"/>
      <c r="H29" s="3"/>
      <c r="I29" s="3"/>
      <c r="J29" s="3"/>
      <c r="K29" s="3"/>
      <c r="L29" s="3"/>
    </row>
    <row r="30" spans="2:17" ht="6.75" customHeight="1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2:17" ht="7.5" customHeight="1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2:17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2:12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</sheetData>
  <sheetProtection password="CC22" sheet="1" objects="1" scenarios="1" selectLockedCells="1"/>
  <phoneticPr fontId="2"/>
  <dataValidations count="5">
    <dataValidation type="decimal" imeMode="off" allowBlank="1" showInputMessage="1" showErrorMessage="1" errorTitle="数値エラー" error="正しい値を入力してください" sqref="G17">
      <formula1>0</formula1>
      <formula2>1000000</formula2>
    </dataValidation>
    <dataValidation type="decimal" imeMode="off" allowBlank="1" showInputMessage="1" showErrorMessage="1" errorTitle="数値エラー" error="正しい数値を入力してください" sqref="G13">
      <formula1>0</formula1>
      <formula2>1000000</formula2>
    </dataValidation>
    <dataValidation type="decimal" imeMode="off" allowBlank="1" showInputMessage="1" showErrorMessage="1" errorTitle="数値エラー" error="1から10の範囲で入力してください" sqref="G14">
      <formula1>1</formula1>
      <formula2>10</formula2>
    </dataValidation>
    <dataValidation type="decimal" imeMode="off" allowBlank="1" showInputMessage="1" showErrorMessage="1" errorTitle="数値エラー" error="1-250の範囲で入力してください" sqref="G15">
      <formula1>1</formula1>
      <formula2>250</formula2>
    </dataValidation>
    <dataValidation type="decimal" imeMode="off" allowBlank="1" showInputMessage="1" showErrorMessage="1" errorTitle="数値エラー" error="-90から90の範囲で入力してください" sqref="G16">
      <formula1>-90</formula1>
      <formula2>90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B1:Q31"/>
  <sheetViews>
    <sheetView workbookViewId="0">
      <selection activeCell="G13" sqref="G13"/>
    </sheetView>
  </sheetViews>
  <sheetFormatPr defaultRowHeight="13.5"/>
  <cols>
    <col min="1" max="1" width="2.375" style="2" customWidth="1"/>
    <col min="2" max="2" width="3.375" style="2" customWidth="1"/>
    <col min="3" max="3" width="4" style="2" customWidth="1"/>
    <col min="4" max="5" width="9" style="2"/>
    <col min="6" max="6" width="5.875" style="2" customWidth="1"/>
    <col min="7" max="7" width="6.625" style="2" customWidth="1"/>
    <col min="8" max="8" width="2.625" style="2" customWidth="1"/>
    <col min="9" max="11" width="9" style="2"/>
    <col min="12" max="12" width="11" style="2" customWidth="1"/>
    <col min="13" max="13" width="6.25" style="2" customWidth="1"/>
    <col min="14" max="14" width="4.5" style="2" customWidth="1"/>
    <col min="15" max="15" width="37.875" style="25" customWidth="1"/>
    <col min="16" max="16" width="9" style="25"/>
    <col min="17" max="16384" width="9" style="2"/>
  </cols>
  <sheetData>
    <row r="1" spans="2:16" ht="10.5" customHeight="1"/>
    <row r="2" spans="2:16" ht="6.7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2:16" ht="17.25">
      <c r="B3" s="3"/>
      <c r="C3" s="4" t="s">
        <v>2</v>
      </c>
      <c r="D3" s="3"/>
      <c r="E3" s="3"/>
      <c r="F3" s="3"/>
      <c r="G3" s="3"/>
      <c r="H3" s="3"/>
      <c r="I3" s="3"/>
      <c r="J3" s="3"/>
      <c r="K3" s="3"/>
      <c r="L3" s="3"/>
    </row>
    <row r="4" spans="2:16">
      <c r="B4" s="3"/>
      <c r="C4" s="3"/>
      <c r="D4" s="3"/>
      <c r="E4" s="3"/>
      <c r="F4" s="3"/>
      <c r="G4" s="3"/>
      <c r="H4" s="3"/>
      <c r="I4" s="3"/>
      <c r="J4" s="3"/>
      <c r="K4" s="3"/>
      <c r="L4" s="3"/>
      <c r="O4" s="25" t="s">
        <v>24</v>
      </c>
      <c r="P4" s="25" t="b">
        <f>IF(G16&gt;0,TRUE,FALSE)</f>
        <v>0</v>
      </c>
    </row>
    <row r="5" spans="2:16">
      <c r="B5" s="3"/>
      <c r="C5" s="3"/>
      <c r="D5" s="3"/>
      <c r="E5" s="3"/>
      <c r="F5" s="3"/>
      <c r="G5" s="3"/>
      <c r="H5" s="3"/>
      <c r="I5" s="3"/>
      <c r="J5" s="3"/>
      <c r="K5" s="3"/>
      <c r="L5" s="3"/>
      <c r="O5" s="25" t="s">
        <v>22</v>
      </c>
      <c r="P5" s="25" t="e">
        <f>IF(G24*2/3&lt;G17,TRUE,FALSE)</f>
        <v>#VALUE!</v>
      </c>
    </row>
    <row r="6" spans="2:16">
      <c r="B6" s="3"/>
      <c r="C6" s="3" t="s">
        <v>32</v>
      </c>
      <c r="D6" s="3"/>
      <c r="E6" s="3"/>
      <c r="F6" s="3"/>
      <c r="G6" s="3"/>
      <c r="H6" s="3"/>
      <c r="I6" s="3"/>
      <c r="J6" s="3"/>
      <c r="K6" s="3"/>
      <c r="L6" s="3"/>
      <c r="O6" s="25" t="s">
        <v>20</v>
      </c>
      <c r="P6" s="25" t="b">
        <f>IF(G17&gt;G24,TRUE,FALSE)</f>
        <v>0</v>
      </c>
    </row>
    <row r="7" spans="2:16"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2:16">
      <c r="B8" s="3"/>
      <c r="C8" s="3" t="s">
        <v>5</v>
      </c>
      <c r="D8" s="3"/>
      <c r="E8" s="3"/>
      <c r="F8" s="3"/>
      <c r="G8" s="3"/>
      <c r="H8" s="3"/>
      <c r="I8" s="3"/>
      <c r="J8" s="3"/>
      <c r="K8" s="3"/>
      <c r="L8" s="3"/>
      <c r="O8" s="25" t="s">
        <v>28</v>
      </c>
    </row>
    <row r="9" spans="2:16">
      <c r="B9" s="3"/>
      <c r="C9" s="3"/>
      <c r="D9" s="3"/>
      <c r="E9" s="3"/>
      <c r="F9" s="3"/>
      <c r="G9" s="3"/>
      <c r="H9" s="3"/>
      <c r="I9" s="3"/>
      <c r="J9" s="3"/>
      <c r="K9" s="3"/>
      <c r="L9" s="3"/>
      <c r="O9" s="25" t="s">
        <v>21</v>
      </c>
    </row>
    <row r="10" spans="2:16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O10" s="25" t="str">
        <f>"必ず"&amp;G17&amp;"N以上の許容荷重を持ったモデルを選定して下さい"</f>
        <v>必ずN以上の許容荷重を持ったモデルを選定して下さい</v>
      </c>
    </row>
    <row r="11" spans="2:16">
      <c r="B11" s="3"/>
      <c r="C11" s="3" t="s">
        <v>29</v>
      </c>
      <c r="D11" s="3"/>
      <c r="E11" s="3"/>
      <c r="F11" s="3"/>
      <c r="G11" s="3"/>
      <c r="H11" s="3"/>
      <c r="I11" s="3"/>
      <c r="J11" s="3"/>
      <c r="K11" s="3"/>
      <c r="L11" s="3"/>
    </row>
    <row r="12" spans="2:16" ht="5.25" customHeight="1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O12" s="25" t="s">
        <v>23</v>
      </c>
    </row>
    <row r="13" spans="2:16" ht="17.25" customHeight="1">
      <c r="B13" s="3"/>
      <c r="C13" s="6" t="s">
        <v>10</v>
      </c>
      <c r="D13" s="7" t="s">
        <v>6</v>
      </c>
      <c r="E13" s="6"/>
      <c r="F13" s="6"/>
      <c r="G13" s="19"/>
      <c r="H13" s="6" t="s">
        <v>15</v>
      </c>
      <c r="I13" s="3"/>
      <c r="J13" s="3"/>
      <c r="K13" s="3"/>
      <c r="L13" s="3"/>
      <c r="O13" s="25" t="s">
        <v>31</v>
      </c>
    </row>
    <row r="14" spans="2:16" ht="17.25" customHeight="1">
      <c r="B14" s="3"/>
      <c r="C14" s="12" t="s">
        <v>11</v>
      </c>
      <c r="D14" s="13" t="s">
        <v>9</v>
      </c>
      <c r="E14" s="12"/>
      <c r="F14" s="12"/>
      <c r="G14" s="20">
        <v>1.5</v>
      </c>
      <c r="H14" s="12"/>
      <c r="I14" s="3"/>
      <c r="J14" s="3"/>
      <c r="K14" s="3"/>
      <c r="L14" s="3"/>
    </row>
    <row r="15" spans="2:16" ht="17.25" customHeight="1">
      <c r="B15" s="3"/>
      <c r="C15" s="8" t="s">
        <v>12</v>
      </c>
      <c r="D15" s="9" t="s">
        <v>7</v>
      </c>
      <c r="E15" s="8"/>
      <c r="F15" s="8"/>
      <c r="G15" s="20"/>
      <c r="H15" s="8" t="s">
        <v>16</v>
      </c>
      <c r="I15" s="3"/>
      <c r="J15" s="3"/>
      <c r="K15" s="3"/>
      <c r="L15" s="3"/>
      <c r="O15" s="25" t="str">
        <f>"仕様に問題ありません。"&amp;ROUNDUP(P23,0)&amp;"Nより大きな許容荷重のモデルを選定してください"</f>
        <v>仕様に問題ありません。0Nより大きな許容荷重のモデルを選定してください</v>
      </c>
    </row>
    <row r="16" spans="2:16" ht="17.25" customHeight="1">
      <c r="B16" s="3"/>
      <c r="C16" s="12" t="s">
        <v>13</v>
      </c>
      <c r="D16" s="13" t="s">
        <v>34</v>
      </c>
      <c r="E16" s="12"/>
      <c r="F16" s="12"/>
      <c r="G16" s="20"/>
      <c r="H16" s="12" t="s">
        <v>16</v>
      </c>
      <c r="I16" s="3"/>
      <c r="J16" s="3"/>
      <c r="K16" s="3"/>
      <c r="L16" s="3"/>
    </row>
    <row r="17" spans="2:17" ht="17.25" customHeight="1">
      <c r="B17" s="3"/>
      <c r="C17" s="6" t="s">
        <v>14</v>
      </c>
      <c r="D17" s="7" t="s">
        <v>8</v>
      </c>
      <c r="E17" s="6"/>
      <c r="F17" s="6"/>
      <c r="G17" s="19"/>
      <c r="H17" s="8" t="s">
        <v>15</v>
      </c>
      <c r="I17" s="3"/>
      <c r="J17" s="3"/>
      <c r="K17" s="3"/>
      <c r="L17" s="3"/>
    </row>
    <row r="18" spans="2:17" ht="6" customHeight="1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O18" s="25" t="s">
        <v>26</v>
      </c>
    </row>
    <row r="19" spans="2:17">
      <c r="B19" s="3"/>
      <c r="C19" s="17" t="s">
        <v>25</v>
      </c>
      <c r="D19" s="3"/>
      <c r="E19" s="3"/>
      <c r="F19" s="3"/>
      <c r="G19" s="3"/>
      <c r="H19" s="3"/>
      <c r="I19" s="3"/>
      <c r="J19" s="3"/>
      <c r="K19" s="3"/>
      <c r="L19" s="3"/>
      <c r="O19" s="25" t="s">
        <v>27</v>
      </c>
    </row>
    <row r="20" spans="2:17">
      <c r="B20" s="3"/>
      <c r="C20" s="17" t="s">
        <v>18</v>
      </c>
      <c r="D20" s="3"/>
      <c r="E20" s="3"/>
      <c r="F20" s="3"/>
      <c r="G20" s="3"/>
      <c r="H20" s="3"/>
      <c r="I20" s="3"/>
      <c r="J20" s="3"/>
      <c r="K20" s="3"/>
      <c r="L20" s="21" t="s">
        <v>30</v>
      </c>
      <c r="M20" s="22"/>
    </row>
    <row r="21" spans="2:17">
      <c r="B21" s="3"/>
      <c r="C21" s="17" t="s">
        <v>19</v>
      </c>
      <c r="D21" s="3"/>
      <c r="E21" s="3"/>
      <c r="F21" s="3"/>
      <c r="G21" s="3"/>
      <c r="H21" s="3"/>
      <c r="I21" s="3"/>
      <c r="J21" s="3"/>
      <c r="K21" s="3"/>
      <c r="L21" s="3"/>
    </row>
    <row r="22" spans="2:17" ht="6.75" customHeight="1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O22" s="26"/>
      <c r="P22" s="25" t="b">
        <f>IF(OR(G13="",G14="",G15="",G16="",G17=""),FALSE,TRUE)</f>
        <v>0</v>
      </c>
    </row>
    <row r="23" spans="2:17" s="5" customFormat="1" ht="18" customHeight="1">
      <c r="B23" s="10"/>
      <c r="C23" s="10"/>
      <c r="D23" s="10"/>
      <c r="E23" s="10"/>
      <c r="F23" s="10"/>
      <c r="G23" s="10"/>
      <c r="H23" s="18" t="str">
        <f>IF(P22=FALSE,O18,O19)</f>
        <v>空欄があります。すべて入力してください</v>
      </c>
      <c r="I23" s="10"/>
      <c r="J23" s="3"/>
      <c r="K23" s="10"/>
      <c r="L23" s="10"/>
      <c r="O23" s="26"/>
      <c r="P23" s="26">
        <f>2*G13*G14*SIN(RADIANS(G15/2))+(G17*SIN(RADIANS(G16)))</f>
        <v>0</v>
      </c>
      <c r="Q23" s="2"/>
    </row>
    <row r="24" spans="2:17" ht="17.25" customHeight="1">
      <c r="B24" s="3"/>
      <c r="C24" s="3"/>
      <c r="D24" s="3"/>
      <c r="E24" s="3"/>
      <c r="F24" s="16" t="s">
        <v>17</v>
      </c>
      <c r="G24" s="14" t="str">
        <f>IF(P22=TRUE,ROUNDUP(P23,0),"")</f>
        <v/>
      </c>
      <c r="H24" s="15" t="s">
        <v>15</v>
      </c>
      <c r="I24" s="3"/>
      <c r="J24" s="3"/>
      <c r="K24" s="3"/>
      <c r="L24" s="3"/>
    </row>
    <row r="25" spans="2:17" ht="17.25" customHeight="1">
      <c r="B25" s="3"/>
      <c r="C25" s="11" t="str">
        <f>IF(P22=TRUE,IF(AND(P6=FALSE,P5=TRUE,P4=TRUE),O8,IF(P6=TRUE,O8,"")),"")</f>
        <v/>
      </c>
      <c r="D25" s="3"/>
      <c r="E25" s="3"/>
      <c r="F25" s="3"/>
      <c r="G25" s="3"/>
      <c r="H25" s="3"/>
      <c r="I25" s="3"/>
      <c r="J25" s="3"/>
      <c r="K25" s="3"/>
      <c r="L25" s="3"/>
    </row>
    <row r="26" spans="2:17">
      <c r="B26" s="3"/>
      <c r="C26" s="11" t="str">
        <f>IF(P22=TRUE,IF(AND(P6=FALSE,P5=TRUE,P4=TRUE),O12,IF(P6=TRUE,O9,O15)),"")</f>
        <v/>
      </c>
      <c r="D26" s="3"/>
      <c r="E26" s="3"/>
      <c r="F26" s="3"/>
      <c r="G26" s="3"/>
      <c r="H26" s="3"/>
      <c r="I26" s="3"/>
      <c r="J26" s="3"/>
      <c r="K26" s="3"/>
      <c r="L26" s="3"/>
    </row>
    <row r="27" spans="2:17">
      <c r="B27" s="3"/>
      <c r="C27" s="11" t="str">
        <f>IF(P22=TRUE,IF(AND(P6=FALSE,P5=TRUE,P4=TRUE),O13,IF(P6=TRUE,O10,"")),"")</f>
        <v/>
      </c>
      <c r="D27" s="3"/>
      <c r="E27" s="3"/>
      <c r="F27" s="3"/>
      <c r="G27" s="3"/>
      <c r="H27" s="3"/>
      <c r="I27" s="3"/>
      <c r="J27" s="3"/>
      <c r="K27" s="3"/>
      <c r="L27" s="3"/>
    </row>
    <row r="28" spans="2:17" ht="6.75" customHeight="1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2:17" ht="7.5" customHeight="1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2:17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2:17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</sheetData>
  <sheetProtection password="CC22" sheet="1" objects="1" scenarios="1" selectLockedCells="1"/>
  <phoneticPr fontId="2"/>
  <dataValidations count="5">
    <dataValidation type="decimal" imeMode="off" allowBlank="1" showInputMessage="1" showErrorMessage="1" errorTitle="数値エラー" error="-90から90の範囲で入力してください" sqref="G16">
      <formula1>-90</formula1>
      <formula2>90</formula2>
    </dataValidation>
    <dataValidation type="decimal" imeMode="off" allowBlank="1" showInputMessage="1" showErrorMessage="1" errorTitle="数値エラー" error="1-250の範囲で入力してください" sqref="G15">
      <formula1>1</formula1>
      <formula2>250</formula2>
    </dataValidation>
    <dataValidation type="decimal" imeMode="off" allowBlank="1" showInputMessage="1" showErrorMessage="1" errorTitle="数値エラー" error="1から10の範囲で入力してください" sqref="G14">
      <formula1>1</formula1>
      <formula2>10</formula2>
    </dataValidation>
    <dataValidation type="decimal" imeMode="off" allowBlank="1" showInputMessage="1" showErrorMessage="1" errorTitle="数値エラー" error="正しい数値を入力してください" sqref="G13">
      <formula1>0</formula1>
      <formula2>1000000</formula2>
    </dataValidation>
    <dataValidation type="decimal" imeMode="off" allowBlank="1" showInputMessage="1" showErrorMessage="1" errorTitle="数値エラー" error="正しい値を入力してください" sqref="G17">
      <formula1>0</formula1>
      <formula2>1000000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B1:U33"/>
  <sheetViews>
    <sheetView zoomScaleNormal="100" workbookViewId="0">
      <selection activeCell="G13" sqref="G13"/>
    </sheetView>
  </sheetViews>
  <sheetFormatPr defaultRowHeight="13.5"/>
  <cols>
    <col min="1" max="1" width="2.375" style="2" customWidth="1"/>
    <col min="2" max="2" width="3.375" style="2" customWidth="1"/>
    <col min="3" max="3" width="4" style="2" customWidth="1"/>
    <col min="4" max="5" width="9" style="2"/>
    <col min="6" max="6" width="5.875" style="2" customWidth="1"/>
    <col min="7" max="7" width="8" style="2" customWidth="1"/>
    <col min="8" max="8" width="2.625" style="2" customWidth="1"/>
    <col min="9" max="9" width="2.875" style="2" customWidth="1"/>
    <col min="10" max="12" width="9" style="2"/>
    <col min="13" max="13" width="8.75" style="2" customWidth="1"/>
    <col min="14" max="14" width="41.25" style="2" customWidth="1"/>
    <col min="15" max="15" width="6.25" style="23" customWidth="1"/>
    <col min="16" max="16" width="4.5" style="25" customWidth="1"/>
    <col min="17" max="17" width="5.75" style="25" customWidth="1"/>
    <col min="18" max="19" width="9" style="25"/>
    <col min="20" max="20" width="5.5" style="25" customWidth="1"/>
    <col min="21" max="21" width="9" style="23"/>
    <col min="22" max="16384" width="9" style="2"/>
  </cols>
  <sheetData>
    <row r="1" spans="2:18" ht="10.5" customHeight="1"/>
    <row r="2" spans="2:18" ht="6.7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8" ht="17.25">
      <c r="B3" s="3"/>
      <c r="C3" s="4" t="s">
        <v>2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2:18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Q4" s="25" t="s">
        <v>24</v>
      </c>
      <c r="R4" s="25" t="b">
        <f>IF(G18="+",TRUE,FALSE)</f>
        <v>0</v>
      </c>
    </row>
    <row r="5" spans="2:18">
      <c r="B5" s="3"/>
      <c r="C5" s="3" t="s">
        <v>33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Q5" s="25" t="s">
        <v>22</v>
      </c>
      <c r="R5" s="25" t="e">
        <f>IF(G27*2/3&lt;G17/2,TRUE,FALSE)</f>
        <v>#VALUE!</v>
      </c>
    </row>
    <row r="6" spans="2:18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Q6" s="25" t="s">
        <v>20</v>
      </c>
      <c r="R6" s="25" t="b">
        <f>IF(G17/2&gt;G27,TRUE,FALSE)</f>
        <v>0</v>
      </c>
    </row>
    <row r="7" spans="2:18">
      <c r="B7" s="3"/>
      <c r="C7" s="3" t="s">
        <v>5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2:18">
      <c r="B8" s="3"/>
      <c r="C8" s="3" t="s">
        <v>77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Q8" s="25" t="s">
        <v>28</v>
      </c>
    </row>
    <row r="9" spans="2:18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Q9" s="25" t="s">
        <v>21</v>
      </c>
    </row>
    <row r="10" spans="2:18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Q10" s="25" t="str">
        <f>"必ず"&amp;ROUNDUP(G17*2/6,0)&amp;"N以上の許容荷重を持ったモデルを選定して下さい"</f>
        <v>必ず0N以上の許容荷重を持ったモデルを選定して下さい</v>
      </c>
    </row>
    <row r="11" spans="2:18">
      <c r="B11" s="3"/>
      <c r="C11" s="3" t="s">
        <v>29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2:18" ht="5.25" customHeight="1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Q12" s="25" t="s">
        <v>23</v>
      </c>
    </row>
    <row r="13" spans="2:18" ht="17.25" customHeight="1">
      <c r="B13" s="3"/>
      <c r="C13" s="6" t="s">
        <v>10</v>
      </c>
      <c r="D13" s="7" t="s">
        <v>6</v>
      </c>
      <c r="E13" s="6"/>
      <c r="F13" s="6"/>
      <c r="G13" s="19"/>
      <c r="H13" s="6" t="s">
        <v>15</v>
      </c>
      <c r="I13" s="3"/>
      <c r="J13" s="3"/>
      <c r="K13" s="3"/>
      <c r="L13" s="3" t="s">
        <v>46</v>
      </c>
      <c r="M13" s="3"/>
      <c r="N13" s="3"/>
      <c r="Q13" s="25" t="s">
        <v>31</v>
      </c>
    </row>
    <row r="14" spans="2:18" ht="17.25" customHeight="1">
      <c r="B14" s="3"/>
      <c r="C14" s="12" t="s">
        <v>11</v>
      </c>
      <c r="D14" s="13" t="s">
        <v>74</v>
      </c>
      <c r="E14" s="12"/>
      <c r="F14" s="12"/>
      <c r="G14" s="49">
        <v>1</v>
      </c>
      <c r="H14" s="12"/>
      <c r="I14" s="3"/>
      <c r="J14" s="3"/>
      <c r="K14" s="3"/>
      <c r="L14" s="3"/>
      <c r="M14" s="3"/>
      <c r="N14" s="3"/>
    </row>
    <row r="15" spans="2:18" ht="17.25" customHeight="1">
      <c r="B15" s="3"/>
      <c r="C15" s="8" t="s">
        <v>12</v>
      </c>
      <c r="D15" s="9" t="s">
        <v>7</v>
      </c>
      <c r="E15" s="8"/>
      <c r="F15" s="8"/>
      <c r="G15" s="20"/>
      <c r="H15" s="8" t="s">
        <v>16</v>
      </c>
      <c r="I15" s="3"/>
      <c r="J15" s="3"/>
      <c r="K15" s="3"/>
      <c r="L15" s="3"/>
      <c r="M15" s="3"/>
      <c r="N15" s="3"/>
      <c r="Q15" s="25" t="str">
        <f>"仕様に問題ありません。"&amp;IF(R4=TRUE,ROUNDUP(R28*2/3,0),ROUNDUP(R29*2/3,0))&amp;"Nより大きな許容荷重のモデルを選定してください"</f>
        <v>仕様に問題ありません。0Nより大きな許容荷重のモデルを選定してください</v>
      </c>
    </row>
    <row r="16" spans="2:18" ht="17.25" customHeight="1">
      <c r="B16" s="3"/>
      <c r="C16" s="12" t="s">
        <v>13</v>
      </c>
      <c r="D16" s="13" t="s">
        <v>38</v>
      </c>
      <c r="E16" s="12"/>
      <c r="F16" s="12"/>
      <c r="G16" s="20"/>
      <c r="H16" s="12" t="s">
        <v>16</v>
      </c>
      <c r="I16" s="3"/>
      <c r="J16" s="3"/>
      <c r="K16" s="3"/>
      <c r="L16" s="3"/>
      <c r="M16" s="3"/>
      <c r="N16" s="3"/>
      <c r="Q16" s="25" t="s">
        <v>67</v>
      </c>
    </row>
    <row r="17" spans="2:21" ht="17.25" customHeight="1">
      <c r="B17" s="3"/>
      <c r="C17" s="6" t="s">
        <v>14</v>
      </c>
      <c r="D17" s="7" t="s">
        <v>39</v>
      </c>
      <c r="E17" s="6"/>
      <c r="F17" s="6"/>
      <c r="G17" s="19"/>
      <c r="H17" s="8" t="s">
        <v>15</v>
      </c>
      <c r="I17" s="3"/>
      <c r="J17" s="3"/>
      <c r="K17" s="3"/>
      <c r="L17" s="3"/>
      <c r="M17" s="3" t="s">
        <v>45</v>
      </c>
      <c r="N17" s="3"/>
      <c r="Q17" s="25" t="s">
        <v>68</v>
      </c>
    </row>
    <row r="18" spans="2:21" ht="17.25" customHeight="1">
      <c r="B18" s="3"/>
      <c r="C18" s="12"/>
      <c r="D18" s="13" t="s">
        <v>40</v>
      </c>
      <c r="E18" s="12"/>
      <c r="F18" s="12"/>
      <c r="G18" s="29"/>
      <c r="H18" s="12"/>
      <c r="I18" s="3"/>
      <c r="J18" s="3"/>
      <c r="K18" s="3"/>
      <c r="L18" s="3"/>
      <c r="M18" s="3"/>
      <c r="N18" s="3"/>
    </row>
    <row r="19" spans="2:21" ht="9.75" customHeight="1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Q19" s="25" t="s">
        <v>26</v>
      </c>
    </row>
    <row r="20" spans="2:21">
      <c r="B20" s="3"/>
      <c r="C20" s="3" t="s">
        <v>41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Q20" s="25" t="s">
        <v>27</v>
      </c>
    </row>
    <row r="21" spans="2:21">
      <c r="B21" s="3"/>
      <c r="C21" s="3" t="s">
        <v>44</v>
      </c>
      <c r="D21" s="3"/>
      <c r="E21" s="3"/>
      <c r="F21" s="3"/>
      <c r="G21" s="3"/>
      <c r="H21" s="3"/>
      <c r="I21" s="3"/>
      <c r="J21" s="27"/>
      <c r="K21" s="27"/>
      <c r="L21" s="27"/>
      <c r="M21" s="31" t="s">
        <v>48</v>
      </c>
      <c r="N21" s="3"/>
      <c r="O21" s="33"/>
    </row>
    <row r="22" spans="2:21">
      <c r="B22" s="3"/>
      <c r="C22" s="30" t="s">
        <v>42</v>
      </c>
      <c r="D22" s="3"/>
      <c r="E22" s="3"/>
      <c r="F22" s="3"/>
      <c r="G22" s="3"/>
      <c r="H22" s="3"/>
      <c r="I22" s="3"/>
      <c r="J22" s="27"/>
      <c r="K22" s="27"/>
      <c r="L22" s="27"/>
      <c r="M22" s="3"/>
      <c r="N22" s="3"/>
    </row>
    <row r="23" spans="2:21">
      <c r="B23" s="3"/>
      <c r="C23" s="30" t="s">
        <v>43</v>
      </c>
      <c r="D23" s="3"/>
      <c r="E23" s="3"/>
      <c r="F23" s="3"/>
      <c r="G23" s="3"/>
      <c r="H23" s="3"/>
      <c r="I23" s="3"/>
      <c r="J23" s="27"/>
      <c r="K23" s="27"/>
      <c r="L23" s="27"/>
      <c r="M23" s="3"/>
      <c r="N23" s="3"/>
    </row>
    <row r="24" spans="2:21" ht="14.25">
      <c r="B24" s="3"/>
      <c r="C24" s="17" t="s">
        <v>47</v>
      </c>
      <c r="D24" s="3"/>
      <c r="E24" s="3"/>
      <c r="F24" s="3"/>
      <c r="G24" s="3"/>
      <c r="H24" s="3"/>
      <c r="I24" s="3"/>
      <c r="J24" s="27"/>
      <c r="K24" s="28"/>
      <c r="L24" s="28"/>
      <c r="M24" s="3"/>
      <c r="N24" s="3"/>
    </row>
    <row r="25" spans="2:21" ht="15" customHeight="1">
      <c r="B25" s="3"/>
      <c r="C25" s="3" t="s">
        <v>75</v>
      </c>
      <c r="D25" s="3"/>
      <c r="E25" s="3"/>
      <c r="F25" s="3"/>
      <c r="G25" s="3"/>
      <c r="H25" s="3"/>
      <c r="I25" s="3"/>
      <c r="J25" s="27"/>
      <c r="K25" s="28"/>
      <c r="L25" s="28"/>
      <c r="M25" s="3"/>
      <c r="N25" s="3"/>
    </row>
    <row r="26" spans="2:21" ht="14.25">
      <c r="B26" s="3"/>
      <c r="C26" s="3"/>
      <c r="D26" s="3"/>
      <c r="E26" s="3"/>
      <c r="F26" s="10"/>
      <c r="G26" s="10"/>
      <c r="H26" s="18" t="str">
        <f>IF(R27=FALSE,Q19,Q20)</f>
        <v>空欄があります。すべて入力してください</v>
      </c>
      <c r="I26" s="3"/>
      <c r="J26" s="3"/>
      <c r="K26" s="3"/>
      <c r="L26" s="3"/>
      <c r="M26" s="3"/>
      <c r="N26" s="3"/>
    </row>
    <row r="27" spans="2:21" ht="14.25">
      <c r="B27" s="3"/>
      <c r="C27" s="10"/>
      <c r="D27" s="10"/>
      <c r="E27" s="10"/>
      <c r="F27" s="16" t="s">
        <v>17</v>
      </c>
      <c r="G27" s="14" t="str">
        <f>IF(G18="+",IF(R27=TRUE,ROUNDUP(R28,0),""),IF(R27=TRUE,ROUNDUP(R29,0),""))</f>
        <v/>
      </c>
      <c r="H27" s="15" t="s">
        <v>15</v>
      </c>
      <c r="I27" s="10"/>
      <c r="J27" s="10"/>
      <c r="K27" s="10"/>
      <c r="L27" s="3"/>
      <c r="M27" s="3"/>
      <c r="N27" s="3"/>
      <c r="Q27" s="26"/>
      <c r="R27" s="25" t="b">
        <f>IF(OR(G13="",G14="",G15="",G16="",G17="",G18=""),FALSE,TRUE)</f>
        <v>0</v>
      </c>
    </row>
    <row r="28" spans="2:21" s="5" customFormat="1" ht="14.25">
      <c r="B28" s="10"/>
      <c r="C28" s="11" t="str">
        <f>IF(R27=TRUE,IF(AND(R6=FALSE,R5=TRUE,R4=TRUE),Q8,IF(R6=TRUE,Q8,"")),"")</f>
        <v/>
      </c>
      <c r="D28" s="3"/>
      <c r="E28" s="3"/>
      <c r="F28" s="3"/>
      <c r="G28" s="3"/>
      <c r="H28" s="3"/>
      <c r="I28" s="3"/>
      <c r="J28" s="3"/>
      <c r="K28" s="3"/>
      <c r="L28" s="10"/>
      <c r="M28" s="10"/>
      <c r="N28" s="10"/>
      <c r="O28" s="24"/>
      <c r="P28" s="26"/>
      <c r="Q28" s="26"/>
      <c r="R28" s="26">
        <f>G14*G13*SIN(RADIANS(G15/2))*(SIN(RADIANS(G16))+COS(RADIANS(G16)))+(G17/2)</f>
        <v>0</v>
      </c>
      <c r="S28" s="25"/>
      <c r="T28" s="26"/>
      <c r="U28" s="24"/>
    </row>
    <row r="29" spans="2:21" ht="17.25" customHeight="1">
      <c r="B29" s="3"/>
      <c r="C29" s="11" t="str">
        <f>IF(R27=TRUE,IF(AND(R6=FALSE,R5=TRUE,R4=TRUE),Q12,IF(R6=TRUE,Q9,Q15)),"")</f>
        <v/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R29" s="26">
        <f>G14*G13*SIN(RADIANS(G15/2))*(SIN(RADIANS(G16))+COS(RADIANS(G16)))-(G17/2)</f>
        <v>0</v>
      </c>
    </row>
    <row r="30" spans="2:21">
      <c r="B30" s="3"/>
      <c r="C30" s="11" t="str">
        <f>IF(R27=TRUE,IF(AND(R6=FALSE,R5=TRUE,R4=TRUE),Q13,IF(R6=TRUE,Q10,Q16)),"")</f>
        <v/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2:21">
      <c r="B31" s="3"/>
      <c r="C31" s="11" t="str">
        <f>IF(R27=TRUE,IF(AND(R6=FALSE,R5=TRUE,R4=TRUE),"",IF(R6=TRUE,"",Q17)),"")</f>
        <v/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2:21" ht="18.75" customHeight="1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ht="7.5" customHeight="1"/>
  </sheetData>
  <sheetProtection password="CC22" sheet="1" objects="1" scenarios="1" selectLockedCells="1"/>
  <phoneticPr fontId="2"/>
  <dataValidations count="6">
    <dataValidation type="decimal" imeMode="off" allowBlank="1" showInputMessage="1" showErrorMessage="1" errorTitle="数値エラー" error="-90から90の範囲で入力してください" sqref="G16">
      <formula1>-90</formula1>
      <formula2>180</formula2>
    </dataValidation>
    <dataValidation type="decimal" imeMode="off" allowBlank="1" showInputMessage="1" showErrorMessage="1" errorTitle="数値エラー" error="1-250の範囲で入力してください" sqref="G15">
      <formula1>1</formula1>
      <formula2>250</formula2>
    </dataValidation>
    <dataValidation type="decimal" imeMode="off" allowBlank="1" showInputMessage="1" showErrorMessage="1" errorTitle="数値エラー" error="1から10の範囲で入力してください" sqref="G14">
      <formula1>1</formula1>
      <formula2>10</formula2>
    </dataValidation>
    <dataValidation type="decimal" imeMode="off" allowBlank="1" showInputMessage="1" showErrorMessage="1" errorTitle="数値エラー" error="正しい数値を入力してください" sqref="G13">
      <formula1>0</formula1>
      <formula2>1000000</formula2>
    </dataValidation>
    <dataValidation type="decimal" imeMode="off" allowBlank="1" showInputMessage="1" showErrorMessage="1" errorTitle="数値エラー" error="正しい値を入力してください" sqref="G17">
      <formula1>0</formula1>
      <formula2>1000000</formula2>
    </dataValidation>
    <dataValidation type="list" imeMode="off" allowBlank="1" showInputMessage="1" showErrorMessage="1" errorTitle="入力エラー" error="+か-かを選択してください" sqref="G18">
      <formula1>"+,-"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1:Y38"/>
  <sheetViews>
    <sheetView zoomScaleNormal="100" workbookViewId="0">
      <selection activeCell="G13" sqref="G13"/>
    </sheetView>
  </sheetViews>
  <sheetFormatPr defaultRowHeight="13.5"/>
  <cols>
    <col min="1" max="1" width="2.375" style="2" customWidth="1"/>
    <col min="2" max="2" width="3.375" style="2" customWidth="1"/>
    <col min="3" max="3" width="4" style="2" customWidth="1"/>
    <col min="4" max="5" width="9" style="2"/>
    <col min="6" max="6" width="5.875" style="2" customWidth="1"/>
    <col min="7" max="7" width="8" style="2" customWidth="1"/>
    <col min="8" max="8" width="3.875" style="2" customWidth="1"/>
    <col min="9" max="9" width="2.875" style="2" customWidth="1"/>
    <col min="10" max="12" width="9" style="2"/>
    <col min="13" max="16" width="8.75" style="2" customWidth="1"/>
    <col min="17" max="17" width="6.625" style="2" customWidth="1"/>
    <col min="18" max="18" width="2.875" style="2" customWidth="1"/>
    <col min="19" max="19" width="6.25" style="23" customWidth="1"/>
    <col min="20" max="20" width="4.5" style="23" customWidth="1"/>
    <col min="21" max="21" width="5.75" style="25" customWidth="1"/>
    <col min="22" max="22" width="11.25" style="25" customWidth="1"/>
    <col min="23" max="23" width="9" style="23"/>
    <col min="24" max="24" width="5.5" style="23" customWidth="1"/>
    <col min="25" max="25" width="9" style="23"/>
    <col min="26" max="16384" width="9" style="2"/>
  </cols>
  <sheetData>
    <row r="1" spans="2:22" ht="10.5" customHeight="1"/>
    <row r="2" spans="2:22" ht="6.7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2:22" ht="17.25">
      <c r="B3" s="3"/>
      <c r="C3" s="4" t="s">
        <v>2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22" ht="6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U4" s="25" t="s">
        <v>24</v>
      </c>
      <c r="V4" s="25" t="b">
        <f>IF(G18="+",IF(G21=0,TRUE,FALSE),IF(G21=0,FALSE,TRUE))</f>
        <v>0</v>
      </c>
    </row>
    <row r="5" spans="2:22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U5" s="25" t="s">
        <v>22</v>
      </c>
      <c r="V5" s="25" t="e">
        <f>IF(G29*2/3&lt;G17/2,TRUE,FALSE)</f>
        <v>#VALUE!</v>
      </c>
    </row>
    <row r="6" spans="2:22">
      <c r="B6" s="3"/>
      <c r="C6" s="3" t="s">
        <v>33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U6" s="25" t="s">
        <v>20</v>
      </c>
      <c r="V6" s="25" t="b">
        <f>IF(G17/2&gt;G29,TRUE,FALSE)</f>
        <v>0</v>
      </c>
    </row>
    <row r="7" spans="2:22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2:22">
      <c r="B8" s="3"/>
      <c r="C8" s="11" t="s">
        <v>53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U8" s="25" t="s">
        <v>28</v>
      </c>
    </row>
    <row r="9" spans="2:22">
      <c r="B9" s="3"/>
      <c r="C9" s="3" t="s">
        <v>5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U9" s="25" t="s">
        <v>21</v>
      </c>
    </row>
    <row r="10" spans="2:22" ht="18" customHeight="1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U10" s="25" t="str">
        <f>"必ず"&amp;ROUNDUP(G17*2/6,0)&amp;"N以上の許容荷重を持ったモデルを選定して下さい"</f>
        <v>必ず0N以上の許容荷重を持ったモデルを選定して下さい</v>
      </c>
    </row>
    <row r="11" spans="2:22">
      <c r="B11" s="3"/>
      <c r="C11" s="3" t="s">
        <v>29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2:22" ht="5.25" customHeight="1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U12" s="25" t="s">
        <v>23</v>
      </c>
    </row>
    <row r="13" spans="2:22" ht="17.25" customHeight="1">
      <c r="B13" s="3"/>
      <c r="C13" s="6" t="s">
        <v>10</v>
      </c>
      <c r="D13" s="7" t="s">
        <v>6</v>
      </c>
      <c r="E13" s="6"/>
      <c r="F13" s="6"/>
      <c r="G13" s="19"/>
      <c r="H13" s="6" t="s">
        <v>15</v>
      </c>
      <c r="I13" s="3"/>
      <c r="J13" s="3"/>
      <c r="K13" s="3"/>
      <c r="L13" s="3" t="s">
        <v>46</v>
      </c>
      <c r="M13" s="3"/>
      <c r="N13" s="3"/>
      <c r="O13" s="3"/>
      <c r="P13" s="3"/>
      <c r="Q13" s="3"/>
      <c r="R13" s="3"/>
      <c r="U13" s="25" t="s">
        <v>31</v>
      </c>
    </row>
    <row r="14" spans="2:22" ht="17.25" customHeight="1">
      <c r="B14" s="3"/>
      <c r="C14" s="12" t="s">
        <v>11</v>
      </c>
      <c r="D14" s="13" t="s">
        <v>74</v>
      </c>
      <c r="E14" s="12"/>
      <c r="F14" s="12"/>
      <c r="G14" s="48">
        <v>1</v>
      </c>
      <c r="H14" s="12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2:22" ht="17.25" customHeight="1">
      <c r="B15" s="3"/>
      <c r="C15" s="8" t="s">
        <v>12</v>
      </c>
      <c r="D15" s="9" t="s">
        <v>7</v>
      </c>
      <c r="E15" s="8"/>
      <c r="F15" s="8"/>
      <c r="G15" s="20"/>
      <c r="H15" s="8" t="s">
        <v>16</v>
      </c>
      <c r="I15" s="3"/>
      <c r="J15" s="3"/>
      <c r="K15" s="3"/>
      <c r="L15" s="3"/>
      <c r="M15" s="3"/>
      <c r="N15" s="3"/>
      <c r="O15" s="3"/>
      <c r="P15" s="3"/>
      <c r="Q15" s="3"/>
      <c r="R15" s="3"/>
      <c r="U15" s="25" t="e">
        <f>"仕様に問題ありません。"&amp;IF(V4=TRUE,ROUNDUP(V31*2/3,0),ROUNDUP(V32*2/3,0))&amp;"Nより大きな許容荷重のモデルを選定してください"</f>
        <v>#DIV/0!</v>
      </c>
    </row>
    <row r="16" spans="2:22" ht="17.25" customHeight="1">
      <c r="B16" s="3"/>
      <c r="C16" s="12" t="s">
        <v>13</v>
      </c>
      <c r="D16" s="13" t="s">
        <v>38</v>
      </c>
      <c r="E16" s="12"/>
      <c r="F16" s="12"/>
      <c r="G16" s="20"/>
      <c r="H16" s="12" t="s">
        <v>16</v>
      </c>
      <c r="I16" s="3"/>
      <c r="J16" s="3"/>
      <c r="K16" s="3"/>
      <c r="L16" s="3"/>
      <c r="M16" s="3"/>
      <c r="N16" s="3"/>
      <c r="O16" s="3"/>
      <c r="P16" s="3"/>
      <c r="Q16" s="3"/>
      <c r="R16" s="3"/>
      <c r="U16" s="25" t="s">
        <v>67</v>
      </c>
    </row>
    <row r="17" spans="2:25" ht="17.25" customHeight="1">
      <c r="B17" s="3"/>
      <c r="C17" s="6" t="s">
        <v>14</v>
      </c>
      <c r="D17" s="7" t="s">
        <v>39</v>
      </c>
      <c r="E17" s="6"/>
      <c r="F17" s="6"/>
      <c r="G17" s="19"/>
      <c r="H17" s="8" t="s">
        <v>15</v>
      </c>
      <c r="I17" s="3"/>
      <c r="J17" s="3"/>
      <c r="K17" s="3"/>
      <c r="L17" s="3"/>
      <c r="M17" s="3" t="s">
        <v>45</v>
      </c>
      <c r="N17" s="3"/>
      <c r="O17" s="3"/>
      <c r="P17" s="3"/>
      <c r="Q17" s="3"/>
      <c r="R17" s="3"/>
      <c r="U17" s="25" t="s">
        <v>68</v>
      </c>
    </row>
    <row r="18" spans="2:25" ht="17.25" customHeight="1">
      <c r="B18" s="3"/>
      <c r="C18" s="12"/>
      <c r="D18" s="13" t="s">
        <v>40</v>
      </c>
      <c r="E18" s="12"/>
      <c r="F18" s="12"/>
      <c r="G18" s="29"/>
      <c r="H18" s="12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2:25" ht="17.25" customHeight="1">
      <c r="B19" s="3"/>
      <c r="C19" s="34"/>
      <c r="D19" s="35" t="s">
        <v>50</v>
      </c>
      <c r="E19" s="34"/>
      <c r="F19" s="34"/>
      <c r="G19" s="32"/>
      <c r="H19" s="34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2:25" ht="17.25" customHeight="1">
      <c r="B20" s="3"/>
      <c r="C20" s="12" t="s">
        <v>54</v>
      </c>
      <c r="D20" s="13" t="s">
        <v>51</v>
      </c>
      <c r="E20" s="12"/>
      <c r="F20" s="12"/>
      <c r="G20" s="29"/>
      <c r="H20" s="12" t="s">
        <v>52</v>
      </c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2:25" ht="17.25" customHeight="1">
      <c r="B21" s="3"/>
      <c r="C21" s="8" t="s">
        <v>55</v>
      </c>
      <c r="D21" s="9" t="s">
        <v>76</v>
      </c>
      <c r="E21" s="8"/>
      <c r="F21" s="8"/>
      <c r="G21" s="20"/>
      <c r="H21" s="8" t="s">
        <v>16</v>
      </c>
      <c r="I21" s="3"/>
      <c r="J21" s="3"/>
      <c r="K21" s="3"/>
      <c r="L21" s="3"/>
      <c r="M21" s="3"/>
      <c r="N21" s="3"/>
      <c r="O21" s="3"/>
      <c r="P21" s="3"/>
      <c r="Q21" s="21" t="s">
        <v>56</v>
      </c>
      <c r="R21" s="3"/>
    </row>
    <row r="22" spans="2:25" ht="17.25" customHeight="1" thickBot="1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5" t="s">
        <v>66</v>
      </c>
      <c r="P22" s="3"/>
      <c r="Q22" s="3"/>
      <c r="R22" s="3"/>
      <c r="U22" s="25" t="s">
        <v>26</v>
      </c>
    </row>
    <row r="23" spans="2:25">
      <c r="B23" s="3"/>
      <c r="C23" s="3" t="s">
        <v>41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7" t="s">
        <v>57</v>
      </c>
      <c r="P23" s="38" t="s">
        <v>61</v>
      </c>
      <c r="Q23" s="39" t="s">
        <v>62</v>
      </c>
      <c r="R23" s="27"/>
      <c r="U23" s="25" t="s">
        <v>27</v>
      </c>
    </row>
    <row r="24" spans="2:25">
      <c r="B24" s="3"/>
      <c r="C24" s="3" t="s">
        <v>44</v>
      </c>
      <c r="D24" s="3"/>
      <c r="E24" s="3"/>
      <c r="F24" s="3"/>
      <c r="G24" s="3"/>
      <c r="H24" s="3"/>
      <c r="I24" s="3"/>
      <c r="J24" s="27"/>
      <c r="K24" s="27"/>
      <c r="L24" s="27"/>
      <c r="M24" s="3"/>
      <c r="N24" s="3"/>
      <c r="O24" s="40" t="s">
        <v>58</v>
      </c>
      <c r="P24" s="36">
        <v>63.5</v>
      </c>
      <c r="Q24" s="41" t="s">
        <v>63</v>
      </c>
      <c r="R24" s="27"/>
      <c r="S24" s="33"/>
    </row>
    <row r="25" spans="2:25">
      <c r="B25" s="3"/>
      <c r="C25" s="30" t="s">
        <v>42</v>
      </c>
      <c r="D25" s="3"/>
      <c r="E25" s="3"/>
      <c r="F25" s="3"/>
      <c r="G25" s="3"/>
      <c r="H25" s="3"/>
      <c r="I25" s="3"/>
      <c r="J25" s="27"/>
      <c r="K25" s="27"/>
      <c r="L25" s="27"/>
      <c r="M25" s="3"/>
      <c r="N25" s="3"/>
      <c r="O25" s="40" t="s">
        <v>59</v>
      </c>
      <c r="P25" s="36">
        <v>114.3</v>
      </c>
      <c r="Q25" s="41" t="s">
        <v>64</v>
      </c>
      <c r="R25" s="27"/>
    </row>
    <row r="26" spans="2:25" ht="14.25" thickBot="1">
      <c r="B26" s="3"/>
      <c r="C26" s="30" t="s">
        <v>43</v>
      </c>
      <c r="D26" s="3"/>
      <c r="E26" s="3"/>
      <c r="F26" s="3"/>
      <c r="G26" s="3"/>
      <c r="H26" s="3"/>
      <c r="I26" s="3"/>
      <c r="J26" s="27"/>
      <c r="K26" s="27"/>
      <c r="L26" s="27"/>
      <c r="M26" s="3"/>
      <c r="N26" s="3"/>
      <c r="O26" s="42" t="s">
        <v>60</v>
      </c>
      <c r="P26" s="43">
        <v>165.1</v>
      </c>
      <c r="Q26" s="44" t="s">
        <v>65</v>
      </c>
      <c r="R26" s="27"/>
      <c r="U26" s="25" t="s">
        <v>79</v>
      </c>
      <c r="V26" s="25" t="b">
        <f>IF(G19="UPB1",63.5,IF(G19="UPB2",114.3,IF(G19="UPB3",165.1,FALSE)))</f>
        <v>0</v>
      </c>
    </row>
    <row r="27" spans="2:25" ht="14.25" customHeight="1">
      <c r="B27" s="3"/>
      <c r="C27" s="3" t="s">
        <v>69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U27" s="25" t="s">
        <v>80</v>
      </c>
      <c r="V27" s="25" t="b">
        <f>IF(G19="UPB1",24.9,IF(G19="UPB2",31.8,IF(G19="UPB3",53.3,FALSE)))</f>
        <v>0</v>
      </c>
    </row>
    <row r="28" spans="2:25" ht="15" customHeight="1">
      <c r="B28" s="3"/>
      <c r="C28" s="3"/>
      <c r="D28" s="3"/>
      <c r="E28" s="3"/>
      <c r="F28" s="10"/>
      <c r="G28" s="10"/>
      <c r="H28" s="18" t="str">
        <f>IF(V30=FALSE,U22,U23)</f>
        <v>空欄があります。すべて入力してください</v>
      </c>
      <c r="I28" s="3"/>
      <c r="J28" s="3"/>
      <c r="K28" s="3"/>
      <c r="L28" s="3"/>
      <c r="M28" s="3"/>
      <c r="N28" s="3"/>
      <c r="O28" s="3"/>
      <c r="P28" s="3"/>
      <c r="Q28" s="3"/>
      <c r="R28" s="3"/>
      <c r="U28" s="25" t="s">
        <v>78</v>
      </c>
      <c r="V28" s="25">
        <f>G20+V27</f>
        <v>0</v>
      </c>
    </row>
    <row r="29" spans="2:25" ht="14.25">
      <c r="B29" s="3"/>
      <c r="C29" s="10"/>
      <c r="D29" s="10"/>
      <c r="E29" s="10"/>
      <c r="F29" s="16" t="s">
        <v>17</v>
      </c>
      <c r="G29" s="14" t="str">
        <f>IF(V30=TRUE,IF(V4=FALSE,ROUNDUP(V32,0),ROUNDUP(V31,0)),"")</f>
        <v/>
      </c>
      <c r="H29" s="15" t="s">
        <v>15</v>
      </c>
      <c r="I29" s="10"/>
      <c r="J29" s="10"/>
      <c r="K29" s="10"/>
      <c r="L29" s="10"/>
      <c r="M29" s="3" t="s">
        <v>72</v>
      </c>
      <c r="N29" s="3"/>
      <c r="O29" s="3"/>
      <c r="P29" s="3"/>
      <c r="Q29" s="3"/>
      <c r="R29" s="3"/>
    </row>
    <row r="30" spans="2:25" ht="14.25">
      <c r="B30" s="3"/>
      <c r="C30" s="11" t="str">
        <f>IF(V30=TRUE,IF(AND(V6=FALSE,V5=TRUE,V4=TRUE),U8,IF(V6=TRUE,U8,"")),"")</f>
        <v/>
      </c>
      <c r="D30" s="3"/>
      <c r="E30" s="3"/>
      <c r="F30" s="3"/>
      <c r="G30" s="3"/>
      <c r="H30" s="3"/>
      <c r="I30" s="3"/>
      <c r="J30" s="3"/>
      <c r="K30" s="3"/>
      <c r="L30" s="3"/>
      <c r="M30" s="3" t="s">
        <v>73</v>
      </c>
      <c r="N30" s="3"/>
      <c r="O30" s="46"/>
      <c r="P30" s="3"/>
      <c r="Q30" s="3"/>
      <c r="R30" s="3"/>
      <c r="U30" s="26"/>
      <c r="V30" s="25" t="b">
        <f>IF(OR(G13="",G14="",G15="",G16="",G17="",G18="",G19="",G20="",G21=""),FALSE,TRUE)</f>
        <v>0</v>
      </c>
    </row>
    <row r="31" spans="2:25" s="5" customFormat="1" ht="14.25">
      <c r="B31" s="10"/>
      <c r="C31" s="11" t="str">
        <f>IF(V30=TRUE,IF(AND(V6=FALSE,V5=TRUE,V4=TRUE),U12,IF(V6=TRUE,U9,U15)),"")</f>
        <v/>
      </c>
      <c r="D31" s="3"/>
      <c r="E31" s="3"/>
      <c r="F31" s="3"/>
      <c r="G31" s="3"/>
      <c r="H31" s="3"/>
      <c r="I31" s="3"/>
      <c r="J31" s="3"/>
      <c r="K31" s="3"/>
      <c r="L31" s="3"/>
      <c r="M31" s="3" t="s">
        <v>70</v>
      </c>
      <c r="N31" s="10"/>
      <c r="O31" s="46"/>
      <c r="P31" s="10"/>
      <c r="Q31" s="10"/>
      <c r="R31" s="10"/>
      <c r="S31" s="24"/>
      <c r="T31" s="24"/>
      <c r="U31" s="26"/>
      <c r="V31" s="26" t="e">
        <f>(G14*G13*SIN(RADIANS(G15/2))*(V28*SIN(RADIANS(G16))+V26*COS(RADIANS(G16)))+((G17/2)*((V26*COS(RADIANS(G21)))-(V28*SIN(RADIANS(G21))))))/V26</f>
        <v>#DIV/0!</v>
      </c>
      <c r="W31" s="23"/>
      <c r="X31" s="24"/>
      <c r="Y31" s="24"/>
    </row>
    <row r="32" spans="2:25" ht="17.25" customHeight="1">
      <c r="B32" s="3"/>
      <c r="C32" s="11" t="str">
        <f>IF(V30=TRUE,IF(AND(V6=FALSE,V5=TRUE,V4=TRUE),U13,IF(V6=TRUE,U10,U16)),"")</f>
        <v/>
      </c>
      <c r="D32" s="3"/>
      <c r="E32" s="3"/>
      <c r="F32" s="3"/>
      <c r="G32" s="3"/>
      <c r="H32" s="3"/>
      <c r="I32" s="3"/>
      <c r="J32" s="3"/>
      <c r="K32" s="3"/>
      <c r="L32" s="3"/>
      <c r="M32" s="3" t="s">
        <v>71</v>
      </c>
      <c r="N32" s="3"/>
      <c r="O32" s="3"/>
      <c r="P32" s="3"/>
      <c r="Q32" s="3"/>
      <c r="R32" s="3"/>
      <c r="V32" s="26" t="e">
        <f>(G14*G13*SIN(RADIANS(G15/2))*(V28*SIN(RADIANS(G16))+V26*COS(RADIANS(G16)))-((G17/2)*((V26*COS(RADIANS(G21)))-(V28*SIN(RADIANS(G21))))))/V26</f>
        <v>#DIV/0!</v>
      </c>
    </row>
    <row r="33" spans="2:18">
      <c r="B33" s="3"/>
      <c r="C33" s="11" t="str">
        <f>IF(V30=TRUE,IF(AND(V6=FALSE,V5=TRUE,V4=TRUE),"",IF(V6=TRUE,"",U17)),"")</f>
        <v/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2:18">
      <c r="B34" s="3"/>
      <c r="C34" s="11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2:18">
      <c r="B35" s="3"/>
      <c r="C35" s="11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2:18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2:18" ht="6.75" customHeight="1"/>
    <row r="38" spans="2:18" ht="7.5" customHeight="1"/>
  </sheetData>
  <sheetProtection password="CC22" sheet="1" objects="1" scenarios="1" selectLockedCells="1"/>
  <phoneticPr fontId="2"/>
  <dataValidations count="9">
    <dataValidation type="list" imeMode="off" allowBlank="1" showInputMessage="1" showErrorMessage="1" errorTitle="入力エラー" error="+か-かを選択してください" sqref="G18">
      <formula1>"+,-"</formula1>
    </dataValidation>
    <dataValidation type="decimal" imeMode="off" allowBlank="1" showInputMessage="1" showErrorMessage="1" errorTitle="数値エラー" error="正しい値を入力してください" sqref="G17">
      <formula1>0</formula1>
      <formula2>1000000</formula2>
    </dataValidation>
    <dataValidation type="decimal" imeMode="off" allowBlank="1" showInputMessage="1" showErrorMessage="1" errorTitle="数値エラー" error="正しい数値を入力してください" sqref="G13">
      <formula1>0</formula1>
      <formula2>1000000</formula2>
    </dataValidation>
    <dataValidation type="decimal" imeMode="off" allowBlank="1" showInputMessage="1" showErrorMessage="1" errorTitle="数値エラー" error="1から10の範囲で入力してください" sqref="G14">
      <formula1>1</formula1>
      <formula2>10</formula2>
    </dataValidation>
    <dataValidation type="decimal" imeMode="off" allowBlank="1" showInputMessage="1" showErrorMessage="1" errorTitle="数値エラー" error="1-250の範囲で入力してください" sqref="G15">
      <formula1>1</formula1>
      <formula2>250</formula2>
    </dataValidation>
    <dataValidation type="decimal" imeMode="off" allowBlank="1" showInputMessage="1" showErrorMessage="1" errorTitle="数値エラー" error="0から90の範囲で入力してください" sqref="G16">
      <formula1>0</formula1>
      <formula2>90</formula2>
    </dataValidation>
    <dataValidation type="list" imeMode="off" allowBlank="1" showInputMessage="1" showErrorMessage="1" errorTitle="入力エラー" error="モデルを選択してください" sqref="G19">
      <formula1>"UPB1,UPB2,UPB3"</formula1>
    </dataValidation>
    <dataValidation imeMode="off" allowBlank="1" showInputMessage="1" showErrorMessage="1" errorTitle="入力エラー" error="モデルを選択してください" sqref="G20"/>
    <dataValidation type="list" imeMode="off" allowBlank="1" showInputMessage="1" showErrorMessage="1" errorTitle="数値エラー" error="0または90のみ入力してください" sqref="G21">
      <formula1>"0,90,180"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モデル選択</vt:lpstr>
      <vt:lpstr>両持ち式</vt:lpstr>
      <vt:lpstr>片持ち式</vt:lpstr>
      <vt:lpstr>ピローブロック</vt:lpstr>
      <vt:lpstr>ピローブロック精密計算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CMCテンションコントロール</dc:title>
  <dc:subject>トランスデューサー選定シート</dc:subject>
  <dc:creator>TechnoSupport Ltd.</dc:creator>
  <cp:lastModifiedBy>techno7</cp:lastModifiedBy>
  <cp:lastPrinted>2012-07-31T01:26:54Z</cp:lastPrinted>
  <dcterms:created xsi:type="dcterms:W3CDTF">2012-07-30T05:20:42Z</dcterms:created>
  <dcterms:modified xsi:type="dcterms:W3CDTF">2015-04-24T06:49:28Z</dcterms:modified>
</cp:coreProperties>
</file>